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15" activeTab="0"/>
  </bookViews>
  <sheets>
    <sheet name="Пенсия" sheetId="1" r:id="rId1"/>
  </sheets>
  <definedNames>
    <definedName name="solver_adj" localSheetId="0" hidden="1">'Пенсия'!$E$10,'Пенсия'!#REF!,'Пенсия'!$E$20</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'Пенсия'!#REF!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1000</definedName>
    <definedName name="valuevx">42.314159</definedName>
    <definedName name="vertex42_copyright" hidden="1">"© 2015-2016 Vertex42 LLC"</definedName>
    <definedName name="vertex42_id" hidden="1">"retirement-calculator.xlsx"</definedName>
    <definedName name="vertex42_title" hidden="1">"Retirement Calculator"</definedName>
    <definedName name="_xlnm.Print_Titles" localSheetId="0">'Пенсия'!$64:$64</definedName>
    <definedName name="_xlnm.Print_Area" localSheetId="0">'Пенсия'!$A$1:$I$189</definedName>
  </definedNames>
  <calcPr fullCalcOnLoad="1"/>
</workbook>
</file>

<file path=xl/comments1.xml><?xml version="1.0" encoding="utf-8"?>
<comments xmlns="http://schemas.openxmlformats.org/spreadsheetml/2006/main">
  <authors>
    <author>Jon</author>
    <author>Vertex42</author>
  </authors>
  <commentList>
    <comment ref="D61" authorId="0">
      <text>
        <r>
          <rPr>
            <b/>
            <sz val="8"/>
            <rFont val="Tahoma"/>
            <family val="2"/>
          </rPr>
          <t>Тип выплат:</t>
        </r>
        <r>
          <rPr>
            <sz val="8"/>
            <rFont val="Tahoma"/>
            <family val="2"/>
          </rPr>
          <t xml:space="preserve">
0 : В конце периода
1 : В начале периода</t>
        </r>
      </text>
    </comment>
    <comment ref="A37" authorId="0">
      <text>
        <r>
          <rPr>
            <b/>
            <sz val="8"/>
            <rFont val="Tahoma"/>
            <family val="2"/>
          </rPr>
          <t>Дополнительные ежегодные взносы в пенсионный капитал:</t>
        </r>
        <r>
          <rPr>
            <sz val="8"/>
            <rFont val="Tahoma"/>
            <family val="2"/>
          </rPr>
          <t xml:space="preserve">
этота  сумма, которую необходимо добавить к "Инвестируемой доле текущего дохода (заработной платы)" для достижения поставленной цели по уровню необходимого пенсионного капиталаl. </t>
        </r>
      </text>
    </comment>
    <comment ref="A38" authorId="0">
      <text>
        <r>
          <rPr>
            <b/>
            <sz val="8"/>
            <rFont val="Tahoma"/>
            <family val="2"/>
          </rPr>
          <t>% доля текущего дохода:</t>
        </r>
        <r>
          <rPr>
            <sz val="8"/>
            <rFont val="Tahoma"/>
            <family val="2"/>
          </rPr>
          <t xml:space="preserve">
принимая во внимания поставленные цели по достижению уровня пенсионных накоплений, Вам необходимо регулярно инвестировать в пенсионный капитал именно такую долю Ваших текущих доходов (заработной платы).</t>
        </r>
      </text>
    </comment>
    <comment ref="A7" authorId="1">
      <text>
        <r>
          <rPr>
            <b/>
            <sz val="8"/>
            <rFont val="Tahoma"/>
            <family val="2"/>
          </rPr>
          <t>Инвестиционный период:</t>
        </r>
        <r>
          <rPr>
            <sz val="8"/>
            <rFont val="Tahoma"/>
            <family val="2"/>
          </rPr>
          <t xml:space="preserve">
данный калькулятор предполагает, что ежегодно Вы будете инвестировать определенный и неизменный процент (долю) Вашего постоянного дохода (заработной платы) до выхода на пенсию. Однако Вы можете указать свой инвестиционный период.</t>
        </r>
      </text>
    </comment>
    <comment ref="A24" authorId="1">
      <text>
        <r>
          <rPr>
            <b/>
            <sz val="8"/>
            <rFont val="Tahoma"/>
            <family val="2"/>
          </rPr>
          <t>Инвестируемая доля текущего дохода:</t>
        </r>
        <r>
          <rPr>
            <sz val="8"/>
            <rFont val="Tahoma"/>
            <family val="2"/>
          </rPr>
          <t xml:space="preserve">
% доля Вашего постоянного годового дохода, которую Вы в даный момент направляете на накопление пенсионного капитала. </t>
        </r>
      </text>
    </comment>
    <comment ref="A25" authorId="1">
      <text>
        <r>
          <rPr>
            <b/>
            <sz val="8"/>
            <rFont val="Tahoma"/>
            <family val="2"/>
          </rPr>
          <t>Сумма инвестиций в пенсионный капитал:</t>
        </r>
        <r>
          <rPr>
            <sz val="8"/>
            <rFont val="Tahoma"/>
            <family val="2"/>
          </rPr>
          <t xml:space="preserve">
выраженная в рублях сумма, составляющая установленный % от Вашего ежегодного постоянного дохода, которая будет регулярно инвестироваться по фиксированной ставке.</t>
        </r>
      </text>
    </comment>
    <comment ref="A15" authorId="1">
      <text>
        <r>
          <rPr>
            <b/>
            <sz val="8"/>
            <rFont val="Tahoma"/>
            <family val="2"/>
          </rPr>
          <t>Желаемый пенсионный доход:</t>
        </r>
        <r>
          <rPr>
            <sz val="8"/>
            <rFont val="Tahoma"/>
            <family val="2"/>
          </rPr>
          <t xml:space="preserve">
в данной ячейке необходимо указать примерный годовой доход, исходя из текущих цен, который мог бы обеспечить Вам комфортный уровень жизни на пенсии</t>
        </r>
      </text>
    </comment>
    <comment ref="A17" authorId="1">
      <text>
        <r>
          <rPr>
            <b/>
            <sz val="8"/>
            <rFont val="Tahoma"/>
            <family val="2"/>
          </rPr>
          <t>Необходимый пенсионный капитал:</t>
        </r>
        <r>
          <rPr>
            <sz val="8"/>
            <rFont val="Tahoma"/>
            <family val="2"/>
          </rPr>
          <t xml:space="preserve">
эта сумма показывает расчетный размер капиала, который обеспечит выбранный уровень жизни в течение пенсионных лет. Эта сумма определяет объем средств, которые необходимо накопить помимо уже имеющихся сбережений и будущей гарантированной (государственной) пенсии.</t>
        </r>
      </text>
    </comment>
    <comment ref="A20" authorId="1">
      <text>
        <r>
          <rPr>
            <b/>
            <sz val="8"/>
            <rFont val="Tahoma"/>
            <family val="2"/>
          </rPr>
          <t>Текущие пенсионные сбережения:</t>
        </r>
        <r>
          <rPr>
            <sz val="8"/>
            <rFont val="Tahoma"/>
            <family val="2"/>
          </rPr>
          <t xml:space="preserve">
в этой ячейке укажите размер Ваших текущих пенсионных сбережений. Эта сумма повлияет на размер пенсионного капитала, который Вам будет необходимо дополнительно накопить к моменту выхода на пенсию.</t>
        </r>
      </text>
    </comment>
    <comment ref="A21" authorId="1">
      <text>
        <r>
          <rPr>
            <b/>
            <sz val="8"/>
            <rFont val="Tahoma"/>
            <family val="2"/>
          </rPr>
          <t>БС текущих пенсионных сбережений:</t>
        </r>
        <r>
          <rPr>
            <sz val="8"/>
            <rFont val="Tahoma"/>
            <family val="2"/>
          </rPr>
          <t xml:space="preserve">
будущая стоимость текущих пенсионных сбережений с учетом постоянной процентной  ставки инвестирования</t>
        </r>
      </text>
    </comment>
    <comment ref="A34" authorId="1">
      <text>
        <r>
          <rPr>
            <b/>
            <sz val="8"/>
            <rFont val="Tahoma"/>
            <family val="2"/>
          </rPr>
          <t>Other Assets:</t>
        </r>
        <r>
          <rPr>
            <sz val="8"/>
            <rFont val="Tahoma"/>
            <family val="2"/>
          </rPr>
          <t xml:space="preserve">
You can include the value of other assets such as a pension or assets that can be sold to help fund your retirement. The value entered here should be the value at the time of retirement. For the sake of estimation and calculation, this amount is included as an Annual Contribution during the last year before you retire.</t>
        </r>
      </text>
    </comment>
  </commentList>
</comments>
</file>

<file path=xl/sharedStrings.xml><?xml version="1.0" encoding="utf-8"?>
<sst xmlns="http://schemas.openxmlformats.org/spreadsheetml/2006/main" count="57" uniqueCount="48">
  <si>
    <t>Series 1</t>
  </si>
  <si>
    <t>Series 2</t>
  </si>
  <si>
    <t>Пенсионный калькулятор</t>
  </si>
  <si>
    <t>Текущий возраст</t>
  </si>
  <si>
    <t>Возраст выхода на пенсию</t>
  </si>
  <si>
    <t>Срок нахождения на пенсии</t>
  </si>
  <si>
    <t>Инвестиционный период</t>
  </si>
  <si>
    <t>Необходимый пенсионный капитал</t>
  </si>
  <si>
    <t>Текущие активы (сбережения)</t>
  </si>
  <si>
    <t>Ставка ежегодной индексации текущего годового дохода (заработной платы)</t>
  </si>
  <si>
    <t xml:space="preserve">Текущие пенсионные сбережения, руб. </t>
  </si>
  <si>
    <t>Текущий доход (заработная плата)  в год, руб.</t>
  </si>
  <si>
    <t>Желаемый пенсионный доход в год, руб.</t>
  </si>
  <si>
    <t>Желаемый пенсионный доход  в год, руб., скорректированный на инфляцию</t>
  </si>
  <si>
    <t>Пенсионный капитал, необходимый к сроку выхода на пенсию, руб.</t>
  </si>
  <si>
    <t>Будущая стоимость текущих пенсионных сбережений, руб.</t>
  </si>
  <si>
    <t>Инвестируемая доля текущего дохода (заработной платы)</t>
  </si>
  <si>
    <t>Будущая стоимость текущих инвестиций в пенсионный капитал, руб.</t>
  </si>
  <si>
    <t>Сумма текущих инвестиций в пенсионный капитал, в год, руб.</t>
  </si>
  <si>
    <t>Вводные данные</t>
  </si>
  <si>
    <t>% ставки и инфляция</t>
  </si>
  <si>
    <t>Доходность инвестиций до выхода на пенсию</t>
  </si>
  <si>
    <t>Доходность инвестиций после выхода на пенсию</t>
  </si>
  <si>
    <t>Годовая инфляция</t>
  </si>
  <si>
    <t xml:space="preserve">Будущие поступления </t>
  </si>
  <si>
    <t>Возраст будущих поступлений (выплата государственной пенсии)</t>
  </si>
  <si>
    <t>Начальный размер будущих поступлений (государственной пенсии) в год, руб.</t>
  </si>
  <si>
    <t>Ежегодная индексация будущих поступлений (государственной пенсии)</t>
  </si>
  <si>
    <t>Кол-во лет выплаты будущих поступлений (государственной пенсии)</t>
  </si>
  <si>
    <t>Приведенная стоимость будущих поступлений на момент выхода на пенсию, руб.</t>
  </si>
  <si>
    <t>Прочие активы на момент выхода на пенсию руб.</t>
  </si>
  <si>
    <t>Потребность в дополнительном капитале при выходе на пенсию</t>
  </si>
  <si>
    <t>Дополнительные ежегодные взносы в пенсионный капитал в год, руб.</t>
  </si>
  <si>
    <t>Доля текущего дохода (заработной платы), подлежащая инвестированию</t>
  </si>
  <si>
    <t>Год</t>
  </si>
  <si>
    <t>Возраст</t>
  </si>
  <si>
    <t>Доходность</t>
  </si>
  <si>
    <t>Доход (зп)</t>
  </si>
  <si>
    <t>Инвестиции</t>
  </si>
  <si>
    <t>Пенсионный доход</t>
  </si>
  <si>
    <t>Выплаты в год</t>
  </si>
  <si>
    <t>Тип выплат</t>
  </si>
  <si>
    <t>Выплаты</t>
  </si>
  <si>
    <t>Инвестиционный доход</t>
  </si>
  <si>
    <t>Баланс</t>
  </si>
  <si>
    <t>Примечания:</t>
  </si>
  <si>
    <t xml:space="preserve"> - Для более точного расчета следует вводить суммы после уплаты налогов.</t>
  </si>
  <si>
    <t xml:space="preserve"> - Представленный расчет является примером и не должен восприниматься в качестве индивидуального финансового плана.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</si>
</sst>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_);[Red]\(&quot;$&quot;#,##0.00\)"/>
    <numFmt numFmtId="165" formatCode="_(&quot;$&quot;* #,##0.00_);_(&quot;$&quot;* \(#,##0.00\);_(&quot;$&quot;* &quot;-&quot;??_);_(@_)"/>
    <numFmt numFmtId="166" formatCode="_(* #,##0.00_);_(* \(#,##0.00\);_(* &quot;-&quot;??_);_(@_)"/>
    <numFmt numFmtId="167" formatCode="0.0%"/>
    <numFmt numFmtId="168" formatCode="&quot;$&quot;* #,##0.00;&quot;$&quot;* \-#,##0.00;&quot;$&quot;* &quot;-&quot;??;@"/>
    <numFmt numFmtId="169" formatCode="0.00000"/>
    <numFmt numFmtId="170" formatCode="#,##0.0_);\(#,##0.0\)"/>
    <numFmt numFmtId="171" formatCode="_(\$* #,##0_);_(\$* \(#,##0\);_(\$* &quot;-&quot;??_);_(@_)"/>
    <numFmt numFmtId="172" formatCode="_(* #,##0.000_);_(* \(#,##0.000\);_(* &quot;-&quot;??_);_(@_)"/>
    <numFmt numFmtId="173" formatCode="_(* #,##0.0_);_(* \(#,##0.0\);_(* &quot;-&quot;??_);_(@_)"/>
    <numFmt numFmtId="174" formatCode="_(* #,##0_);_(* \(#,##0\);_(* &quot;-&quot;??_);_(@_)"/>
  </numFmts>
  <fonts count="64">
    <font>
      <sz val="10"/>
      <name val="Tahoma"/>
      <family val="2"/>
    </font>
    <font>
      <sz val="11"/>
      <color indexed="8"/>
      <name val="Arial Narrow"/>
      <family val="2"/>
    </font>
    <font>
      <sz val="10"/>
      <name val="Arial"/>
      <family val="2"/>
    </font>
    <font>
      <sz val="8"/>
      <name val="Arial"/>
      <family val="2"/>
    </font>
    <font>
      <sz val="8"/>
      <name val="Tahoma"/>
      <family val="2"/>
    </font>
    <font>
      <b/>
      <sz val="8"/>
      <name val="Tahoma"/>
      <family val="2"/>
    </font>
    <font>
      <u val="single"/>
      <sz val="10"/>
      <color indexed="12"/>
      <name val="Arial"/>
      <family val="2"/>
    </font>
    <font>
      <sz val="18"/>
      <color indexed="53"/>
      <name val="Calibri Light"/>
      <family val="2"/>
    </font>
    <font>
      <b/>
      <sz val="15"/>
      <color indexed="53"/>
      <name val="Arial Narrow"/>
      <family val="2"/>
    </font>
    <font>
      <b/>
      <sz val="13"/>
      <color indexed="53"/>
      <name val="Arial Narrow"/>
      <family val="2"/>
    </font>
    <font>
      <b/>
      <sz val="11"/>
      <color indexed="53"/>
      <name val="Arial Narrow"/>
      <family val="2"/>
    </font>
    <font>
      <sz val="11"/>
      <color indexed="17"/>
      <name val="Arial Narrow"/>
      <family val="2"/>
    </font>
    <font>
      <sz val="11"/>
      <color indexed="36"/>
      <name val="Arial Narrow"/>
      <family val="2"/>
    </font>
    <font>
      <sz val="11"/>
      <color indexed="59"/>
      <name val="Arial Narrow"/>
      <family val="2"/>
    </font>
    <font>
      <sz val="11"/>
      <color indexed="53"/>
      <name val="Arial Narrow"/>
      <family val="2"/>
    </font>
    <font>
      <b/>
      <sz val="11"/>
      <color indexed="63"/>
      <name val="Arial Narrow"/>
      <family val="2"/>
    </font>
    <font>
      <b/>
      <sz val="11"/>
      <color indexed="50"/>
      <name val="Arial Narrow"/>
      <family val="2"/>
    </font>
    <font>
      <sz val="11"/>
      <color indexed="50"/>
      <name val="Arial Narrow"/>
      <family val="2"/>
    </font>
    <font>
      <b/>
      <sz val="11"/>
      <color indexed="9"/>
      <name val="Arial Narrow"/>
      <family val="2"/>
    </font>
    <font>
      <sz val="11"/>
      <color indexed="10"/>
      <name val="Arial Narrow"/>
      <family val="2"/>
    </font>
    <font>
      <i/>
      <sz val="11"/>
      <color indexed="23"/>
      <name val="Arial Narrow"/>
      <family val="2"/>
    </font>
    <font>
      <b/>
      <sz val="11"/>
      <color indexed="8"/>
      <name val="Arial Narrow"/>
      <family val="2"/>
    </font>
    <font>
      <sz val="11"/>
      <color indexed="9"/>
      <name val="Arial Narrow"/>
      <family val="2"/>
    </font>
    <font>
      <sz val="11"/>
      <name val="Arial"/>
      <family val="2"/>
    </font>
    <font>
      <sz val="12"/>
      <name val="Arial"/>
      <family val="2"/>
    </font>
    <font>
      <b/>
      <sz val="18"/>
      <color indexed="9"/>
      <name val="Arial"/>
      <family val="2"/>
    </font>
    <font>
      <sz val="10"/>
      <color indexed="53"/>
      <name val="Arial"/>
      <family val="2"/>
    </font>
    <font>
      <b/>
      <sz val="12"/>
      <color indexed="9"/>
      <name val="Arial"/>
      <family val="2"/>
    </font>
    <font>
      <b/>
      <sz val="12"/>
      <name val="Arial"/>
      <family val="2"/>
    </font>
    <font>
      <b/>
      <sz val="10"/>
      <name val="Arial"/>
      <family val="2"/>
    </font>
    <font>
      <b/>
      <sz val="11"/>
      <name val="Arial"/>
      <family val="2"/>
    </font>
    <font>
      <sz val="10"/>
      <color indexed="23"/>
      <name val="Arial"/>
      <family val="2"/>
    </font>
    <font>
      <sz val="11"/>
      <color indexed="23"/>
      <name val="Arial"/>
      <family val="2"/>
    </font>
    <font>
      <sz val="12"/>
      <color indexed="53"/>
      <name val="Arial"/>
      <family val="2"/>
    </font>
    <font>
      <b/>
      <u val="single"/>
      <sz val="12"/>
      <color indexed="53"/>
      <name val="Arial"/>
      <family val="2"/>
    </font>
    <font>
      <sz val="9"/>
      <name val="Arial"/>
      <family val="2"/>
    </font>
    <font>
      <sz val="9"/>
      <color indexed="8"/>
      <name val="Calibri"/>
      <family val="2"/>
    </font>
    <font>
      <b/>
      <sz val="12"/>
      <color indexed="55"/>
      <name val="Arial"/>
      <family val="2"/>
    </font>
    <font>
      <b/>
      <sz val="11"/>
      <color indexed="55"/>
      <name val="Arial"/>
      <family val="2"/>
    </font>
    <font>
      <b/>
      <sz val="9"/>
      <color indexed="55"/>
      <name val="Arial"/>
      <family val="2"/>
    </font>
    <font>
      <b/>
      <sz val="14"/>
      <color indexed="22"/>
      <name val="Arial"/>
      <family val="2"/>
    </font>
    <font>
      <sz val="11"/>
      <color theme="1"/>
      <name val="Arial Narrow"/>
      <family val="2"/>
    </font>
    <font>
      <sz val="11"/>
      <color theme="0"/>
      <name val="Arial Narrow"/>
      <family val="2"/>
    </font>
    <font>
      <sz val="11"/>
      <color rgb="FF3F3F76"/>
      <name val="Arial Narrow"/>
      <family val="2"/>
    </font>
    <font>
      <b/>
      <sz val="11"/>
      <color rgb="FF3F3F3F"/>
      <name val="Arial Narrow"/>
      <family val="2"/>
    </font>
    <font>
      <b/>
      <sz val="11"/>
      <color rgb="FFFA7D00"/>
      <name val="Arial Narrow"/>
      <family val="2"/>
    </font>
    <font>
      <b/>
      <sz val="15"/>
      <color theme="3"/>
      <name val="Arial Narrow"/>
      <family val="2"/>
    </font>
    <font>
      <b/>
      <sz val="13"/>
      <color theme="3"/>
      <name val="Arial Narrow"/>
      <family val="2"/>
    </font>
    <font>
      <b/>
      <sz val="11"/>
      <color theme="3"/>
      <name val="Arial Narrow"/>
      <family val="2"/>
    </font>
    <font>
      <b/>
      <sz val="11"/>
      <color theme="1"/>
      <name val="Arial Narrow"/>
      <family val="2"/>
    </font>
    <font>
      <b/>
      <sz val="11"/>
      <color theme="0"/>
      <name val="Arial Narrow"/>
      <family val="2"/>
    </font>
    <font>
      <sz val="18"/>
      <color theme="3"/>
      <name val="Calibri Light"/>
      <family val="2"/>
    </font>
    <font>
      <sz val="11"/>
      <color rgb="FF9C6500"/>
      <name val="Arial Narrow"/>
      <family val="2"/>
    </font>
    <font>
      <sz val="11"/>
      <color rgb="FF9C0006"/>
      <name val="Arial Narrow"/>
      <family val="2"/>
    </font>
    <font>
      <i/>
      <sz val="11"/>
      <color rgb="FF7F7F7F"/>
      <name val="Arial Narrow"/>
      <family val="2"/>
    </font>
    <font>
      <sz val="11"/>
      <color rgb="FFFA7D00"/>
      <name val="Arial Narrow"/>
      <family val="2"/>
    </font>
    <font>
      <sz val="11"/>
      <color rgb="FFFF0000"/>
      <name val="Arial Narrow"/>
      <family val="2"/>
    </font>
    <font>
      <sz val="11"/>
      <color rgb="FF006100"/>
      <name val="Arial Narrow"/>
      <family val="2"/>
    </font>
    <font>
      <sz val="10"/>
      <color theme="4" tint="-0.24997000396251678"/>
      <name val="Arial"/>
      <family val="2"/>
    </font>
    <font>
      <sz val="10"/>
      <color theme="1" tint="0.49998000264167786"/>
      <name val="Arial"/>
      <family val="2"/>
    </font>
    <font>
      <sz val="11"/>
      <color theme="1" tint="0.49998000264167786"/>
      <name val="Arial"/>
      <family val="2"/>
    </font>
    <font>
      <sz val="12"/>
      <color theme="4" tint="-0.24997000396251678"/>
      <name val="Arial"/>
      <family val="2"/>
    </font>
    <font>
      <b/>
      <u val="single"/>
      <sz val="12"/>
      <color theme="4" tint="-0.24997000396251678"/>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5" tint="-0.24997000396251678"/>
        <bgColor indexed="64"/>
      </patternFill>
    </fill>
    <fill>
      <patternFill patternType="solid">
        <fgColor theme="4"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6" fillId="0" borderId="0" applyNumberForma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2"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66" fontId="2"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67">
    <xf numFmtId="0" fontId="0" fillId="0" borderId="0" xfId="0" applyAlignment="1">
      <alignment/>
    </xf>
    <xf numFmtId="0" fontId="0" fillId="0" borderId="0" xfId="0" applyFont="1" applyAlignment="1" applyProtection="1">
      <alignment/>
      <protection/>
    </xf>
    <xf numFmtId="0" fontId="2" fillId="0" borderId="0" xfId="0" applyFont="1" applyAlignment="1" applyProtection="1">
      <alignment/>
      <protection/>
    </xf>
    <xf numFmtId="0" fontId="58" fillId="0" borderId="0" xfId="0" applyFont="1" applyAlignment="1" applyProtection="1">
      <alignment/>
      <protection/>
    </xf>
    <xf numFmtId="0" fontId="6" fillId="0" borderId="0" xfId="42" applyFont="1" applyFill="1" applyAlignment="1" applyProtection="1">
      <alignment horizontal="left"/>
      <protection/>
    </xf>
    <xf numFmtId="0" fontId="2" fillId="0" borderId="0" xfId="0" applyFont="1" applyFill="1" applyAlignment="1" applyProtection="1">
      <alignment/>
      <protection/>
    </xf>
    <xf numFmtId="0" fontId="2" fillId="0" borderId="0" xfId="0" applyFont="1" applyAlignment="1">
      <alignment/>
    </xf>
    <xf numFmtId="0" fontId="2" fillId="33" borderId="0" xfId="0" applyFont="1" applyFill="1" applyAlignment="1" applyProtection="1">
      <alignment/>
      <protection/>
    </xf>
    <xf numFmtId="0" fontId="2" fillId="0" borderId="0" xfId="0" applyFont="1" applyFill="1" applyAlignment="1" applyProtection="1">
      <alignment horizontal="right" vertical="center" indent="1"/>
      <protection/>
    </xf>
    <xf numFmtId="0" fontId="59" fillId="0" borderId="0" xfId="0" applyFont="1" applyFill="1" applyAlignment="1" applyProtection="1">
      <alignment/>
      <protection/>
    </xf>
    <xf numFmtId="0" fontId="29" fillId="0" borderId="0" xfId="0" applyFont="1" applyAlignment="1" applyProtection="1">
      <alignment/>
      <protection/>
    </xf>
    <xf numFmtId="165" fontId="2" fillId="0" borderId="0" xfId="0" applyNumberFormat="1" applyFont="1" applyAlignment="1" applyProtection="1">
      <alignment/>
      <protection/>
    </xf>
    <xf numFmtId="0" fontId="27" fillId="34" borderId="0" xfId="0" applyFont="1" applyFill="1" applyBorder="1" applyAlignment="1" applyProtection="1">
      <alignment horizontal="center" vertical="center"/>
      <protection/>
    </xf>
    <xf numFmtId="0" fontId="24" fillId="33" borderId="0" xfId="0" applyFont="1" applyFill="1" applyBorder="1" applyAlignment="1" applyProtection="1">
      <alignment horizontal="left" vertical="center"/>
      <protection/>
    </xf>
    <xf numFmtId="0" fontId="24" fillId="33" borderId="0" xfId="0" applyFont="1" applyFill="1" applyBorder="1" applyAlignment="1" applyProtection="1">
      <alignment horizontal="left" vertical="center"/>
      <protection/>
    </xf>
    <xf numFmtId="9" fontId="24" fillId="33" borderId="0" xfId="56" applyFont="1" applyFill="1" applyBorder="1" applyAlignment="1" applyProtection="1">
      <alignment horizontal="right" vertical="center"/>
      <protection/>
    </xf>
    <xf numFmtId="9" fontId="28" fillId="33" borderId="0" xfId="56" applyFont="1" applyFill="1" applyBorder="1" applyAlignment="1" applyProtection="1">
      <alignment horizontal="right" vertical="center"/>
      <protection/>
    </xf>
    <xf numFmtId="0" fontId="28" fillId="33" borderId="0" xfId="0" applyFont="1" applyFill="1" applyBorder="1" applyAlignment="1" applyProtection="1">
      <alignment horizontal="left" vertical="center"/>
      <protection/>
    </xf>
    <xf numFmtId="0" fontId="29" fillId="8" borderId="10" xfId="0" applyFont="1" applyFill="1" applyBorder="1" applyAlignment="1" applyProtection="1">
      <alignment horizontal="center" vertical="center" wrapText="1"/>
      <protection/>
    </xf>
    <xf numFmtId="0" fontId="29" fillId="8" borderId="10" xfId="0" applyFont="1" applyFill="1" applyBorder="1" applyAlignment="1">
      <alignment horizontal="center" vertical="center" wrapText="1"/>
    </xf>
    <xf numFmtId="0" fontId="28" fillId="18" borderId="11" xfId="0" applyFont="1" applyFill="1" applyBorder="1" applyAlignment="1" applyProtection="1">
      <alignment horizontal="center" vertical="center"/>
      <protection/>
    </xf>
    <xf numFmtId="0" fontId="28" fillId="18" borderId="12" xfId="0" applyFont="1" applyFill="1" applyBorder="1" applyAlignment="1" applyProtection="1">
      <alignment horizontal="center" vertical="center"/>
      <protection/>
    </xf>
    <xf numFmtId="0" fontId="28" fillId="33" borderId="13" xfId="0" applyFont="1" applyFill="1" applyBorder="1" applyAlignment="1" applyProtection="1">
      <alignment horizontal="left" vertical="center"/>
      <protection/>
    </xf>
    <xf numFmtId="0" fontId="28" fillId="33" borderId="14" xfId="0" applyFont="1" applyFill="1" applyBorder="1" applyAlignment="1" applyProtection="1">
      <alignment horizontal="left" vertical="center"/>
      <protection/>
    </xf>
    <xf numFmtId="0" fontId="28" fillId="33" borderId="15" xfId="0" applyFont="1" applyFill="1" applyBorder="1" applyAlignment="1" applyProtection="1">
      <alignment horizontal="left" vertical="center"/>
      <protection/>
    </xf>
    <xf numFmtId="9" fontId="28" fillId="33" borderId="16" xfId="56" applyFont="1" applyFill="1" applyBorder="1" applyAlignment="1" applyProtection="1">
      <alignment horizontal="right" vertical="center"/>
      <protection/>
    </xf>
    <xf numFmtId="174" fontId="0" fillId="0" borderId="0" xfId="59" applyNumberFormat="1" applyFont="1" applyAlignment="1">
      <alignment/>
    </xf>
    <xf numFmtId="174" fontId="2" fillId="0" borderId="0" xfId="59" applyNumberFormat="1" applyFont="1" applyAlignment="1" applyProtection="1">
      <alignment/>
      <protection/>
    </xf>
    <xf numFmtId="174" fontId="2" fillId="0" borderId="0" xfId="59" applyNumberFormat="1" applyFont="1" applyAlignment="1">
      <alignment/>
    </xf>
    <xf numFmtId="174" fontId="2" fillId="0" borderId="0" xfId="59" applyNumberFormat="1" applyFont="1" applyAlignment="1" applyProtection="1">
      <alignment horizontal="right"/>
      <protection/>
    </xf>
    <xf numFmtId="174" fontId="0" fillId="0" borderId="0" xfId="59" applyNumberFormat="1" applyFont="1" applyAlignment="1" applyProtection="1">
      <alignment/>
      <protection/>
    </xf>
    <xf numFmtId="174" fontId="2" fillId="0" borderId="0" xfId="59" applyNumberFormat="1" applyFont="1" applyFill="1" applyAlignment="1" applyProtection="1">
      <alignment horizontal="center"/>
      <protection/>
    </xf>
    <xf numFmtId="174" fontId="2" fillId="0" borderId="0" xfId="59" applyNumberFormat="1" applyFont="1" applyFill="1" applyAlignment="1" applyProtection="1">
      <alignment/>
      <protection/>
    </xf>
    <xf numFmtId="174" fontId="24" fillId="33" borderId="0" xfId="59" applyNumberFormat="1" applyFont="1" applyFill="1" applyBorder="1" applyAlignment="1" applyProtection="1">
      <alignment horizontal="right" vertical="center"/>
      <protection/>
    </xf>
    <xf numFmtId="174" fontId="28" fillId="33" borderId="0" xfId="59" applyNumberFormat="1" applyFont="1" applyFill="1" applyBorder="1" applyAlignment="1" applyProtection="1">
      <alignment horizontal="right" vertical="center"/>
      <protection/>
    </xf>
    <xf numFmtId="174" fontId="30" fillId="18" borderId="17" xfId="59" applyNumberFormat="1" applyFont="1" applyFill="1" applyBorder="1" applyAlignment="1" applyProtection="1">
      <alignment horizontal="right" vertical="center"/>
      <protection/>
    </xf>
    <xf numFmtId="174" fontId="28" fillId="33" borderId="18" xfId="59" applyNumberFormat="1" applyFont="1" applyFill="1" applyBorder="1" applyAlignment="1" applyProtection="1">
      <alignment horizontal="right" vertical="center"/>
      <protection/>
    </xf>
    <xf numFmtId="174" fontId="23" fillId="0" borderId="0" xfId="59" applyNumberFormat="1" applyFont="1" applyFill="1" applyBorder="1" applyAlignment="1" applyProtection="1">
      <alignment horizontal="right" vertical="center"/>
      <protection/>
    </xf>
    <xf numFmtId="174" fontId="59" fillId="0" borderId="0" xfId="59" applyNumberFormat="1" applyFont="1" applyAlignment="1" applyProtection="1">
      <alignment/>
      <protection/>
    </xf>
    <xf numFmtId="174" fontId="60" fillId="0" borderId="0" xfId="59" applyNumberFormat="1" applyFont="1" applyFill="1" applyBorder="1" applyAlignment="1" applyProtection="1">
      <alignment horizontal="center"/>
      <protection locked="0"/>
    </xf>
    <xf numFmtId="174" fontId="24" fillId="33" borderId="0" xfId="59" applyNumberFormat="1" applyFont="1" applyFill="1" applyBorder="1" applyAlignment="1" applyProtection="1">
      <alignment horizontal="left" vertical="center"/>
      <protection/>
    </xf>
    <xf numFmtId="174" fontId="2" fillId="0" borderId="0" xfId="59" applyNumberFormat="1" applyFont="1" applyFill="1" applyAlignment="1" applyProtection="1">
      <alignment horizontal="right" vertical="center" indent="1"/>
      <protection/>
    </xf>
    <xf numFmtId="174" fontId="59" fillId="0" borderId="0" xfId="59" applyNumberFormat="1" applyFont="1" applyFill="1" applyAlignment="1" applyProtection="1">
      <alignment horizontal="right" vertical="center" indent="1"/>
      <protection/>
    </xf>
    <xf numFmtId="9" fontId="2" fillId="0" borderId="0" xfId="56" applyFont="1" applyFill="1" applyAlignment="1" applyProtection="1">
      <alignment/>
      <protection/>
    </xf>
    <xf numFmtId="9" fontId="2" fillId="0" borderId="0" xfId="56" applyFont="1" applyAlignment="1">
      <alignment/>
    </xf>
    <xf numFmtId="9" fontId="0" fillId="0" borderId="0" xfId="56" applyFont="1" applyAlignment="1">
      <alignment/>
    </xf>
    <xf numFmtId="9" fontId="24" fillId="33" borderId="0" xfId="56" applyFont="1" applyFill="1" applyBorder="1" applyAlignment="1" applyProtection="1">
      <alignment horizontal="left" vertical="center"/>
      <protection/>
    </xf>
    <xf numFmtId="9" fontId="0" fillId="0" borderId="0" xfId="56" applyFont="1" applyAlignment="1" applyProtection="1">
      <alignment/>
      <protection/>
    </xf>
    <xf numFmtId="9" fontId="2" fillId="33" borderId="0" xfId="56" applyFont="1" applyFill="1" applyAlignment="1" applyProtection="1">
      <alignment/>
      <protection/>
    </xf>
    <xf numFmtId="9" fontId="2" fillId="0" borderId="0" xfId="56" applyFont="1" applyFill="1" applyAlignment="1" applyProtection="1">
      <alignment horizontal="right" vertical="center" indent="1"/>
      <protection/>
    </xf>
    <xf numFmtId="9" fontId="2" fillId="0" borderId="0" xfId="56" applyFont="1" applyAlignment="1" applyProtection="1">
      <alignment/>
      <protection/>
    </xf>
    <xf numFmtId="9" fontId="59" fillId="0" borderId="0" xfId="56" applyFont="1" applyFill="1" applyAlignment="1" applyProtection="1">
      <alignment/>
      <protection/>
    </xf>
    <xf numFmtId="0" fontId="61" fillId="0" borderId="0" xfId="0" applyFont="1" applyAlignment="1" applyProtection="1">
      <alignment horizontal="left" vertical="top" wrapText="1"/>
      <protection/>
    </xf>
    <xf numFmtId="0" fontId="62" fillId="0" borderId="0" xfId="0" applyFont="1" applyAlignment="1" applyProtection="1">
      <alignment vertical="center"/>
      <protection/>
    </xf>
    <xf numFmtId="0" fontId="28" fillId="33" borderId="0" xfId="0" applyFont="1" applyFill="1" applyBorder="1" applyAlignment="1" applyProtection="1">
      <alignment horizontal="left" vertical="center"/>
      <protection/>
    </xf>
    <xf numFmtId="9" fontId="29" fillId="8" borderId="10" xfId="56" applyFont="1" applyFill="1" applyBorder="1" applyAlignment="1" applyProtection="1">
      <alignment horizontal="center" vertical="center" wrapText="1"/>
      <protection/>
    </xf>
    <xf numFmtId="174" fontId="29" fillId="8" borderId="10" xfId="59" applyNumberFormat="1" applyFont="1" applyFill="1" applyBorder="1" applyAlignment="1" applyProtection="1">
      <alignment horizontal="center" vertical="center" wrapText="1"/>
      <protection/>
    </xf>
    <xf numFmtId="0" fontId="35" fillId="2" borderId="0" xfId="0" applyFont="1" applyFill="1" applyAlignment="1" applyProtection="1">
      <alignment horizontal="center"/>
      <protection/>
    </xf>
    <xf numFmtId="9" fontId="35" fillId="2" borderId="0" xfId="56" applyFont="1" applyFill="1" applyAlignment="1" applyProtection="1">
      <alignment horizontal="center"/>
      <protection/>
    </xf>
    <xf numFmtId="174" fontId="35" fillId="2" borderId="0" xfId="59" applyNumberFormat="1" applyFont="1" applyFill="1" applyAlignment="1" applyProtection="1">
      <alignment horizontal="center"/>
      <protection/>
    </xf>
    <xf numFmtId="165" fontId="35" fillId="2" borderId="0" xfId="43" applyFont="1" applyFill="1" applyAlignment="1" applyProtection="1">
      <alignment horizontal="center"/>
      <protection/>
    </xf>
    <xf numFmtId="174" fontId="35" fillId="2" borderId="0" xfId="59" applyNumberFormat="1" applyFont="1" applyFill="1" applyBorder="1" applyAlignment="1" applyProtection="1">
      <alignment horizontal="center"/>
      <protection/>
    </xf>
    <xf numFmtId="0" fontId="35" fillId="0" borderId="0" xfId="0" applyFont="1" applyAlignment="1" applyProtection="1">
      <alignment horizontal="center"/>
      <protection/>
    </xf>
    <xf numFmtId="9" fontId="35" fillId="0" borderId="0" xfId="56" applyFont="1" applyAlignment="1" applyProtection="1">
      <alignment horizontal="center"/>
      <protection/>
    </xf>
    <xf numFmtId="174" fontId="35" fillId="0" borderId="0" xfId="59" applyNumberFormat="1" applyFont="1" applyAlignment="1" applyProtection="1">
      <alignment horizontal="right"/>
      <protection/>
    </xf>
    <xf numFmtId="3" fontId="35" fillId="0" borderId="0" xfId="59" applyNumberFormat="1" applyFont="1" applyAlignment="1" applyProtection="1">
      <alignment horizontal="right"/>
      <protection/>
    </xf>
    <xf numFmtId="0" fontId="63" fillId="35" borderId="0" xfId="0"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3">
    <dxf>
      <fill>
        <patternFill>
          <bgColor indexed="22"/>
        </patternFill>
      </fill>
    </dxf>
    <dxf>
      <font>
        <color indexed="22"/>
      </font>
    </dxf>
    <dxf>
      <font>
        <color rgb="FFEAEAEA"/>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EAEAEA"/>
                </a:solidFill>
              </a:rPr>
              <a:t>Баланс пенсионных накоплений</a:t>
            </a:r>
          </a:p>
        </c:rich>
      </c:tx>
      <c:layout>
        <c:manualLayout>
          <c:xMode val="factor"/>
          <c:yMode val="factor"/>
          <c:x val="0.0355"/>
          <c:y val="0.00825"/>
        </c:manualLayout>
      </c:layout>
      <c:spPr>
        <a:noFill/>
        <a:ln w="3175">
          <a:noFill/>
        </a:ln>
      </c:spPr>
    </c:title>
    <c:plotArea>
      <c:layout>
        <c:manualLayout>
          <c:xMode val="edge"/>
          <c:yMode val="edge"/>
          <c:x val="0.011"/>
          <c:y val="0.114"/>
          <c:w val="0.9705"/>
          <c:h val="0.8265"/>
        </c:manualLayout>
      </c:layout>
      <c:scatterChart>
        <c:scatterStyle val="lineMarker"/>
        <c:varyColors val="0"/>
        <c:ser>
          <c:idx val="0"/>
          <c:order val="0"/>
          <c:tx>
            <c:strRef>
              <c:f>Пенсия!$E$58</c:f>
              <c:strCache>
                <c:ptCount val="1"/>
                <c:pt idx="0">
                  <c:v>Сценарий: Инвестирование 20,58% зп</c:v>
                </c:pt>
              </c:strCache>
            </c:strRef>
          </c:tx>
          <c:spPr>
            <a:ln w="12700">
              <a:solidFill>
                <a:srgbClr val="799FC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Пенсия!$B$66:$B$130</c:f>
              <c:numCache/>
            </c:numRef>
          </c:xVal>
          <c:yVal>
            <c:numRef>
              <c:f>Пенсия!$I$66:$I$130</c:f>
              <c:numCache/>
            </c:numRef>
          </c:yVal>
          <c:smooth val="0"/>
        </c:ser>
        <c:ser>
          <c:idx val="1"/>
          <c:order val="1"/>
          <c:tx>
            <c:strRef>
              <c:f>Пенсия!$E$59</c:f>
              <c:strCache>
                <c:ptCount val="1"/>
                <c:pt idx="0">
                  <c:v>Сценарий: Инвестирование 10% зп</c:v>
                </c:pt>
              </c:strCache>
            </c:strRef>
          </c:tx>
          <c:spPr>
            <a:ln w="12700">
              <a:solidFill>
                <a:srgbClr val="66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Пенсия!$B$66:$B$130</c:f>
              <c:numCache/>
            </c:numRef>
          </c:xVal>
          <c:yVal>
            <c:numRef>
              <c:f>Пенсия!$I$136:$I$189</c:f>
              <c:numCache/>
            </c:numRef>
          </c:yVal>
          <c:smooth val="0"/>
        </c:ser>
        <c:axId val="10846793"/>
        <c:axId val="30512274"/>
      </c:scatterChart>
      <c:valAx>
        <c:axId val="10846793"/>
        <c:scaling>
          <c:orientation val="minMax"/>
          <c:min val="20"/>
        </c:scaling>
        <c:axPos val="b"/>
        <c:title>
          <c:tx>
            <c:rich>
              <a:bodyPr vert="horz" rot="0" anchor="ctr"/>
              <a:lstStyle/>
              <a:p>
                <a:pPr algn="ctr">
                  <a:defRPr/>
                </a:pPr>
                <a:r>
                  <a:rPr lang="en-US" cap="none" sz="1100" b="1" i="0" u="none" baseline="0">
                    <a:solidFill>
                      <a:srgbClr val="B2B2B2"/>
                    </a:solidFill>
                  </a:rPr>
                  <a:t>Возраст</a:t>
                </a:r>
              </a:p>
            </c:rich>
          </c:tx>
          <c:layout>
            <c:manualLayout>
              <c:xMode val="factor"/>
              <c:yMode val="factor"/>
              <c:x val="0.0075"/>
              <c:y val="0.00625"/>
            </c:manualLayout>
          </c:layout>
          <c:overlay val="0"/>
          <c:spPr>
            <a:noFill/>
            <a:ln w="3175">
              <a:noFill/>
            </a:ln>
          </c:spPr>
        </c:title>
        <c:delete val="0"/>
        <c:numFmt formatCode="General" sourceLinked="1"/>
        <c:majorTickMark val="none"/>
        <c:minorTickMark val="none"/>
        <c:tickLblPos val="nextTo"/>
        <c:spPr>
          <a:ln w="3175">
            <a:solidFill>
              <a:srgbClr val="666666"/>
            </a:solidFill>
          </a:ln>
        </c:spPr>
        <c:txPr>
          <a:bodyPr vert="horz" rot="0"/>
          <a:lstStyle/>
          <a:p>
            <a:pPr>
              <a:defRPr lang="en-US" cap="none" sz="1200" b="1" i="0" u="none" baseline="0">
                <a:solidFill>
                  <a:srgbClr val="B2B2B2"/>
                </a:solidFill>
              </a:defRPr>
            </a:pPr>
          </a:p>
        </c:txPr>
        <c:crossAx val="30512274"/>
        <c:crosses val="autoZero"/>
        <c:crossBetween val="midCat"/>
        <c:dispUnits/>
      </c:valAx>
      <c:valAx>
        <c:axId val="30512274"/>
        <c:scaling>
          <c:orientation val="minMax"/>
        </c:scaling>
        <c:axPos val="l"/>
        <c:delete val="0"/>
        <c:numFmt formatCode="#,##0" sourceLinked="0"/>
        <c:majorTickMark val="none"/>
        <c:minorTickMark val="none"/>
        <c:tickLblPos val="nextTo"/>
        <c:spPr>
          <a:ln w="3175">
            <a:solidFill>
              <a:srgbClr val="666666"/>
            </a:solidFill>
          </a:ln>
        </c:spPr>
        <c:txPr>
          <a:bodyPr vert="horz" rot="0"/>
          <a:lstStyle/>
          <a:p>
            <a:pPr>
              <a:defRPr lang="en-US" cap="none" sz="900" b="1" i="0" u="none" baseline="0">
                <a:solidFill>
                  <a:srgbClr val="B2B2B2"/>
                </a:solidFill>
              </a:defRPr>
            </a:pPr>
          </a:p>
        </c:txPr>
        <c:crossAx val="10846793"/>
        <c:crosses val="autoZero"/>
        <c:crossBetween val="midCat"/>
        <c:dispUnits/>
      </c:valAx>
      <c:spPr>
        <a:noFill/>
        <a:ln>
          <a:noFill/>
        </a:ln>
      </c:spPr>
    </c:plotArea>
    <c:legend>
      <c:legendPos val="t"/>
      <c:layout>
        <c:manualLayout>
          <c:xMode val="edge"/>
          <c:yMode val="edge"/>
          <c:x val="0.119"/>
          <c:y val="0.182"/>
          <c:w val="0.34925"/>
          <c:h val="0.2255"/>
        </c:manualLayout>
      </c:layout>
      <c:overlay val="0"/>
      <c:spPr>
        <a:noFill/>
        <a:ln w="3175">
          <a:noFill/>
        </a:ln>
      </c:spPr>
      <c:txPr>
        <a:bodyPr vert="horz" rot="0"/>
        <a:lstStyle/>
        <a:p>
          <a:pPr>
            <a:defRPr lang="en-US" cap="none" sz="1200" b="1" i="0" u="none" baseline="0">
              <a:solidFill>
                <a:srgbClr val="B2B2B2"/>
              </a:solidFill>
            </a:defRPr>
          </a:pPr>
        </a:p>
      </c:txPr>
    </c:legend>
    <c:plotVisOnly val="1"/>
    <c:dispBlanksAs val="gap"/>
    <c:showDLblsOverMax val="0"/>
  </c:chart>
  <c:spPr>
    <a:solidFill>
      <a:srgbClr val="404040"/>
    </a:solidFill>
    <a:ln w="3175">
      <a:solidFill>
        <a:srgbClr val="EAEAEA"/>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40</xdr:row>
      <xdr:rowOff>161925</xdr:rowOff>
    </xdr:from>
    <xdr:ext cx="10801350" cy="3590925"/>
    <xdr:graphicFrame>
      <xdr:nvGraphicFramePr>
        <xdr:cNvPr id="1" name="Chart 4"/>
        <xdr:cNvGraphicFramePr/>
      </xdr:nvGraphicFramePr>
      <xdr:xfrm>
        <a:off x="47625" y="10172700"/>
        <a:ext cx="10801350" cy="3590925"/>
      </xdr:xfrm>
      <a:graphic>
        <a:graphicData uri="http://schemas.openxmlformats.org/drawingml/2006/chart">
          <c:chart xmlns:c="http://schemas.openxmlformats.org/drawingml/2006/chart" r:id="rId1"/>
        </a:graphicData>
      </a:graphic>
    </xdr:graphicFrame>
    <xdr:clientData fLocksWithSheet="0"/>
  </xdr:oneCellAnchor>
</xdr:wsDr>
</file>

<file path=xl/theme/theme1.xml><?xml version="1.0" encoding="utf-8"?>
<a:theme xmlns:a="http://schemas.openxmlformats.org/drawingml/2006/main" name="Office Theme">
  <a:themeElements>
    <a:clrScheme name="V42-BlueGray">
      <a:dk1>
        <a:sysClr val="windowText" lastClr="000000"/>
      </a:dk1>
      <a:lt1>
        <a:sysClr val="window" lastClr="FFFFFF"/>
      </a:lt1>
      <a:dk2>
        <a:srgbClr val="3B4E87"/>
      </a:dk2>
      <a:lt2>
        <a:srgbClr val="EEECE2"/>
      </a:lt2>
      <a:accent1>
        <a:srgbClr val="5E8BCE"/>
      </a:accent1>
      <a:accent2>
        <a:srgbClr val="7F7F7F"/>
      </a:accent2>
      <a:accent3>
        <a:srgbClr val="26AA26"/>
      </a:accent3>
      <a:accent4>
        <a:srgbClr val="7860B4"/>
      </a:accent4>
      <a:accent5>
        <a:srgbClr val="C04E4E"/>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99"/>
  <sheetViews>
    <sheetView showGridLines="0" tabSelected="1" zoomScalePageLayoutView="0" workbookViewId="0" topLeftCell="A1">
      <selection activeCell="A1" sqref="A1:M199"/>
    </sheetView>
  </sheetViews>
  <sheetFormatPr defaultColWidth="9.140625" defaultRowHeight="12.75"/>
  <cols>
    <col min="1" max="1" width="46.00390625" style="1" customWidth="1"/>
    <col min="2" max="2" width="12.421875" style="1" customWidth="1"/>
    <col min="3" max="3" width="12.421875" style="47" customWidth="1"/>
    <col min="4" max="4" width="15.140625" style="30" customWidth="1"/>
    <col min="5" max="5" width="19.140625" style="30" customWidth="1"/>
    <col min="6" max="6" width="14.140625" style="1" customWidth="1"/>
    <col min="7" max="7" width="12.140625" style="1" customWidth="1"/>
    <col min="8" max="8" width="17.140625" style="30" customWidth="1"/>
    <col min="9" max="9" width="15.00390625" style="30" customWidth="1"/>
    <col min="10" max="10" width="4.140625" style="1" customWidth="1"/>
    <col min="11" max="11" width="37.8515625" style="1" customWidth="1"/>
    <col min="12" max="16384" width="9.140625" style="1" customWidth="1"/>
  </cols>
  <sheetData>
    <row r="1" spans="1:13" ht="30" customHeight="1">
      <c r="A1" s="66" t="s">
        <v>2</v>
      </c>
      <c r="B1" s="66"/>
      <c r="C1" s="66"/>
      <c r="D1" s="66"/>
      <c r="E1" s="66"/>
      <c r="F1"/>
      <c r="G1" s="53" t="s">
        <v>45</v>
      </c>
      <c r="H1" s="26"/>
      <c r="I1" s="26"/>
      <c r="J1" s="2"/>
      <c r="L1" s="2"/>
      <c r="M1" s="2"/>
    </row>
    <row r="2" spans="1:13" ht="15" customHeight="1">
      <c r="A2" s="4"/>
      <c r="B2" s="5"/>
      <c r="C2" s="43"/>
      <c r="D2" s="32"/>
      <c r="E2" s="32"/>
      <c r="F2" s="5"/>
      <c r="G2" s="52" t="s">
        <v>46</v>
      </c>
      <c r="H2" s="52"/>
      <c r="I2" s="52"/>
      <c r="J2" s="52"/>
      <c r="K2" s="52"/>
      <c r="L2" s="6"/>
      <c r="M2" s="6"/>
    </row>
    <row r="3" spans="1:13" ht="19.5" customHeight="1">
      <c r="A3" s="12" t="s">
        <v>19</v>
      </c>
      <c r="B3" s="12"/>
      <c r="C3" s="12"/>
      <c r="D3" s="12"/>
      <c r="E3" s="12"/>
      <c r="F3" s="2"/>
      <c r="G3" s="52" t="s">
        <v>47</v>
      </c>
      <c r="H3" s="52"/>
      <c r="I3" s="52"/>
      <c r="J3" s="52"/>
      <c r="K3" s="52"/>
      <c r="L3" s="6"/>
      <c r="M3" s="6"/>
    </row>
    <row r="4" spans="1:13" ht="19.5" customHeight="1">
      <c r="A4" s="13" t="s">
        <v>3</v>
      </c>
      <c r="B4" s="13"/>
      <c r="C4" s="13"/>
      <c r="D4" s="13"/>
      <c r="E4" s="33">
        <v>25</v>
      </c>
      <c r="F4" s="2"/>
      <c r="G4" s="52"/>
      <c r="H4" s="52"/>
      <c r="I4" s="52"/>
      <c r="J4" s="52"/>
      <c r="K4" s="52"/>
      <c r="L4" s="6"/>
      <c r="M4" s="6"/>
    </row>
    <row r="5" spans="1:13" ht="19.5" customHeight="1">
      <c r="A5" s="13" t="s">
        <v>4</v>
      </c>
      <c r="B5" s="13"/>
      <c r="C5" s="13"/>
      <c r="D5" s="13"/>
      <c r="E5" s="33">
        <v>65</v>
      </c>
      <c r="F5" s="2"/>
      <c r="G5" s="3"/>
      <c r="H5" s="27"/>
      <c r="I5" s="27"/>
      <c r="J5" s="2"/>
      <c r="L5" s="6"/>
      <c r="M5" s="6"/>
    </row>
    <row r="6" spans="1:13" ht="19.5" customHeight="1">
      <c r="A6" s="13" t="s">
        <v>5</v>
      </c>
      <c r="B6" s="13"/>
      <c r="C6" s="13"/>
      <c r="D6" s="13"/>
      <c r="E6" s="33">
        <v>25</v>
      </c>
      <c r="F6" s="6"/>
      <c r="G6" s="3"/>
      <c r="H6" s="28"/>
      <c r="I6" s="28"/>
      <c r="J6" s="2"/>
      <c r="L6" s="6"/>
      <c r="M6" s="6"/>
    </row>
    <row r="7" spans="1:13" ht="19.5" customHeight="1">
      <c r="A7" s="13" t="s">
        <v>6</v>
      </c>
      <c r="B7" s="13"/>
      <c r="C7" s="13"/>
      <c r="D7" s="13"/>
      <c r="E7" s="33">
        <f>E5-E4</f>
        <v>40</v>
      </c>
      <c r="F7" s="6"/>
      <c r="G7" s="3"/>
      <c r="H7" s="28"/>
      <c r="I7" s="28"/>
      <c r="J7" s="2"/>
      <c r="L7" s="6"/>
      <c r="M7" s="6"/>
    </row>
    <row r="8" spans="1:13" ht="19.5" customHeight="1">
      <c r="A8" s="6"/>
      <c r="B8" s="6"/>
      <c r="C8" s="44"/>
      <c r="D8" s="28"/>
      <c r="E8" s="28"/>
      <c r="F8" s="6"/>
      <c r="G8" s="6"/>
      <c r="H8" s="28"/>
      <c r="I8" s="28"/>
      <c r="J8" s="6"/>
      <c r="L8" s="6"/>
      <c r="M8" s="6"/>
    </row>
    <row r="9" spans="1:13" ht="19.5" customHeight="1">
      <c r="A9" s="12" t="s">
        <v>20</v>
      </c>
      <c r="B9" s="12"/>
      <c r="C9" s="12"/>
      <c r="D9" s="12"/>
      <c r="E9" s="12"/>
      <c r="F9" s="6"/>
      <c r="G9" s="6"/>
      <c r="H9" s="28"/>
      <c r="I9" s="28"/>
      <c r="J9" s="6"/>
      <c r="L9" s="6"/>
      <c r="M9" s="6"/>
    </row>
    <row r="10" spans="1:13" ht="19.5" customHeight="1">
      <c r="A10" s="13" t="s">
        <v>21</v>
      </c>
      <c r="B10" s="13"/>
      <c r="C10" s="13"/>
      <c r="D10" s="13"/>
      <c r="E10" s="15">
        <v>0.06</v>
      </c>
      <c r="F10" s="6"/>
      <c r="G10" s="6"/>
      <c r="H10" s="28"/>
      <c r="I10" s="28"/>
      <c r="J10" s="6"/>
      <c r="L10" s="6"/>
      <c r="M10" s="6"/>
    </row>
    <row r="11" spans="1:13" ht="19.5" customHeight="1">
      <c r="A11" s="13" t="s">
        <v>22</v>
      </c>
      <c r="B11" s="13"/>
      <c r="C11" s="13"/>
      <c r="D11" s="13"/>
      <c r="E11" s="15">
        <v>0.03</v>
      </c>
      <c r="F11" s="6"/>
      <c r="G11" s="6"/>
      <c r="H11" s="28"/>
      <c r="I11" s="28"/>
      <c r="J11" s="6"/>
      <c r="L11" s="6"/>
      <c r="M11" s="6"/>
    </row>
    <row r="12" spans="1:13" ht="19.5" customHeight="1">
      <c r="A12" s="13" t="s">
        <v>23</v>
      </c>
      <c r="B12" s="13"/>
      <c r="C12" s="13"/>
      <c r="D12" s="13"/>
      <c r="E12" s="15">
        <v>0.03</v>
      </c>
      <c r="F12" s="6"/>
      <c r="G12" s="6"/>
      <c r="H12" s="28"/>
      <c r="I12" s="28"/>
      <c r="J12" s="6"/>
      <c r="L12" s="6"/>
      <c r="M12" s="6"/>
    </row>
    <row r="13" spans="1:13" ht="19.5" customHeight="1">
      <c r="A13" s="6"/>
      <c r="B13" s="6"/>
      <c r="C13" s="44"/>
      <c r="D13" s="28"/>
      <c r="E13" s="28"/>
      <c r="F13" s="6"/>
      <c r="G13" s="6"/>
      <c r="H13" s="28"/>
      <c r="I13" s="28"/>
      <c r="J13" s="6"/>
      <c r="L13" s="6"/>
      <c r="M13" s="6"/>
    </row>
    <row r="14" spans="1:13" ht="19.5" customHeight="1">
      <c r="A14" s="12" t="s">
        <v>7</v>
      </c>
      <c r="B14" s="12"/>
      <c r="C14" s="12"/>
      <c r="D14" s="12"/>
      <c r="E14" s="12"/>
      <c r="F14" s="6"/>
      <c r="G14" s="3"/>
      <c r="H14" s="28"/>
      <c r="I14" s="28"/>
      <c r="J14" s="2"/>
      <c r="L14" s="6"/>
      <c r="M14" s="6"/>
    </row>
    <row r="15" spans="1:13" ht="19.5" customHeight="1">
      <c r="A15" s="13" t="s">
        <v>12</v>
      </c>
      <c r="B15" s="13"/>
      <c r="C15" s="13"/>
      <c r="D15" s="13"/>
      <c r="E15" s="33">
        <f>90000*12</f>
        <v>1080000</v>
      </c>
      <c r="F15" s="6"/>
      <c r="H15" s="28"/>
      <c r="I15" s="28"/>
      <c r="J15" s="2"/>
      <c r="L15" s="6"/>
      <c r="M15" s="6"/>
    </row>
    <row r="16" spans="1:13" ht="19.5" customHeight="1">
      <c r="A16" s="13" t="s">
        <v>13</v>
      </c>
      <c r="B16" s="13"/>
      <c r="C16" s="13"/>
      <c r="D16" s="13"/>
      <c r="E16" s="33">
        <f>FV(E12,(E5-E4),,-E15)</f>
        <v>3523000.815358998</v>
      </c>
      <c r="F16" s="6"/>
      <c r="H16" s="28"/>
      <c r="I16" s="28"/>
      <c r="J16" s="2"/>
      <c r="L16" s="6"/>
      <c r="M16" s="6"/>
    </row>
    <row r="17" spans="1:13" ht="19.5" customHeight="1">
      <c r="A17" s="13" t="s">
        <v>14</v>
      </c>
      <c r="B17" s="13"/>
      <c r="C17" s="13"/>
      <c r="D17" s="13"/>
      <c r="E17" s="34">
        <f>PV(((1+E11)/(1+E12)-1)/E60,E6*E60,-IF(E61=1,E16/E60,E16/(1+E12)/E60),,1)</f>
        <v>88075020.38397494</v>
      </c>
      <c r="F17" s="6"/>
      <c r="H17" s="28"/>
      <c r="I17" s="28"/>
      <c r="J17" s="2"/>
      <c r="L17" s="6"/>
      <c r="M17" s="6"/>
    </row>
    <row r="18" spans="1:13" ht="19.5" customHeight="1">
      <c r="A18"/>
      <c r="B18"/>
      <c r="C18" s="45"/>
      <c r="D18" s="26"/>
      <c r="E18" s="26"/>
      <c r="F18" s="6"/>
      <c r="H18" s="28"/>
      <c r="I18" s="28"/>
      <c r="J18" s="2"/>
      <c r="L18" s="6"/>
      <c r="M18" s="6"/>
    </row>
    <row r="19" spans="1:13" ht="19.5" customHeight="1">
      <c r="A19" s="12" t="s">
        <v>8</v>
      </c>
      <c r="B19" s="12"/>
      <c r="C19" s="12"/>
      <c r="D19" s="12"/>
      <c r="E19" s="12"/>
      <c r="F19" s="6"/>
      <c r="G19" s="3"/>
      <c r="H19" s="28"/>
      <c r="I19" s="28"/>
      <c r="J19" s="2"/>
      <c r="L19" s="6"/>
      <c r="M19" s="6"/>
    </row>
    <row r="20" spans="1:13" ht="19.5" customHeight="1">
      <c r="A20" s="13" t="s">
        <v>10</v>
      </c>
      <c r="B20" s="13"/>
      <c r="C20" s="13"/>
      <c r="D20" s="13"/>
      <c r="E20" s="33">
        <v>1000000</v>
      </c>
      <c r="F20" s="6"/>
      <c r="G20" s="3"/>
      <c r="H20" s="28"/>
      <c r="I20" s="28"/>
      <c r="J20" s="2"/>
      <c r="L20" s="2"/>
      <c r="M20" s="2"/>
    </row>
    <row r="21" spans="1:13" ht="19.5" customHeight="1">
      <c r="A21" s="13" t="s">
        <v>15</v>
      </c>
      <c r="B21" s="13"/>
      <c r="C21" s="13"/>
      <c r="D21" s="13"/>
      <c r="E21" s="34">
        <f>-FV(E10,(E5-E4),0,E20,0)</f>
        <v>10285717.937125929</v>
      </c>
      <c r="F21" s="6"/>
      <c r="G21" s="3"/>
      <c r="H21" s="28"/>
      <c r="I21" s="28"/>
      <c r="J21" s="2"/>
      <c r="L21" s="2"/>
      <c r="M21" s="2"/>
    </row>
    <row r="22" spans="1:13" ht="19.5" customHeight="1">
      <c r="A22" s="14" t="s">
        <v>11</v>
      </c>
      <c r="B22" s="14"/>
      <c r="C22" s="46"/>
      <c r="D22" s="40"/>
      <c r="E22" s="33">
        <f>150000*12</f>
        <v>1800000</v>
      </c>
      <c r="F22" s="6"/>
      <c r="G22" s="3"/>
      <c r="H22" s="28"/>
      <c r="I22" s="28"/>
      <c r="J22" s="2"/>
      <c r="L22" s="2"/>
      <c r="M22" s="2"/>
    </row>
    <row r="23" spans="1:13" ht="19.5" customHeight="1">
      <c r="A23" s="13" t="s">
        <v>9</v>
      </c>
      <c r="B23" s="13"/>
      <c r="C23" s="13"/>
      <c r="D23" s="13"/>
      <c r="E23" s="15">
        <v>0.02</v>
      </c>
      <c r="F23" s="6"/>
      <c r="G23" s="3"/>
      <c r="H23" s="28"/>
      <c r="I23" s="28"/>
      <c r="J23" s="2"/>
      <c r="L23" s="2"/>
      <c r="M23" s="2"/>
    </row>
    <row r="24" spans="1:13" ht="19.5" customHeight="1">
      <c r="A24" s="13" t="s">
        <v>16</v>
      </c>
      <c r="B24" s="13"/>
      <c r="C24" s="13"/>
      <c r="D24" s="13"/>
      <c r="E24" s="15">
        <v>0.1</v>
      </c>
      <c r="F24" s="6"/>
      <c r="G24" s="3"/>
      <c r="H24" s="28"/>
      <c r="I24" s="28"/>
      <c r="J24" s="2"/>
      <c r="L24" s="2"/>
      <c r="M24" s="2"/>
    </row>
    <row r="25" spans="1:13" ht="19.5" customHeight="1">
      <c r="A25" s="13" t="s">
        <v>18</v>
      </c>
      <c r="B25" s="13"/>
      <c r="C25" s="13"/>
      <c r="D25" s="13"/>
      <c r="E25" s="33">
        <f>E24*E22</f>
        <v>180000</v>
      </c>
      <c r="F25" s="6"/>
      <c r="G25" s="3"/>
      <c r="H25" s="28"/>
      <c r="I25" s="28"/>
      <c r="J25" s="2"/>
      <c r="L25" s="2"/>
      <c r="M25" s="2"/>
    </row>
    <row r="26" spans="1:13" ht="19.5" customHeight="1">
      <c r="A26" s="13" t="s">
        <v>17</v>
      </c>
      <c r="B26" s="13"/>
      <c r="C26" s="13"/>
      <c r="D26" s="13"/>
      <c r="E26" s="34">
        <f>IF(E23=E10,(E25/E60)*((E7*E60)*(1+E10/E60)^(E7*E60))/(1+E23/E60),(E25/E60)*((1+E23/E60)^(E7*E60)-(1+E10/E60)^(E7*E60))/(E23/E60-E10/E60))</f>
        <v>36349552.230799854</v>
      </c>
      <c r="F26" s="6"/>
      <c r="G26" s="3"/>
      <c r="H26" s="28"/>
      <c r="I26" s="28"/>
      <c r="J26" s="2"/>
      <c r="L26" s="2"/>
      <c r="M26" s="2"/>
    </row>
    <row r="27" spans="6:13" ht="19.5" customHeight="1">
      <c r="F27" s="6"/>
      <c r="G27" s="3"/>
      <c r="H27" s="28"/>
      <c r="I27" s="28"/>
      <c r="J27" s="2"/>
      <c r="L27" s="2"/>
      <c r="M27" s="2"/>
    </row>
    <row r="28" spans="1:13" ht="19.5" customHeight="1">
      <c r="A28" s="12" t="s">
        <v>24</v>
      </c>
      <c r="B28" s="12"/>
      <c r="C28" s="12"/>
      <c r="D28" s="12"/>
      <c r="E28" s="12"/>
      <c r="F28" s="6"/>
      <c r="G28" s="6"/>
      <c r="H28" s="28"/>
      <c r="I28" s="28"/>
      <c r="J28" s="2"/>
      <c r="K28" s="3"/>
      <c r="L28" s="2"/>
      <c r="M28" s="2"/>
    </row>
    <row r="29" spans="1:13" ht="19.5" customHeight="1">
      <c r="A29" s="13" t="s">
        <v>25</v>
      </c>
      <c r="B29" s="13"/>
      <c r="C29" s="13"/>
      <c r="D29" s="13"/>
      <c r="E29" s="33">
        <v>65</v>
      </c>
      <c r="F29" s="6"/>
      <c r="G29" s="6"/>
      <c r="H29" s="28"/>
      <c r="I29" s="28"/>
      <c r="J29" s="2"/>
      <c r="K29" s="3"/>
      <c r="L29" s="2"/>
      <c r="M29" s="2"/>
    </row>
    <row r="30" spans="1:13" ht="19.5" customHeight="1">
      <c r="A30" s="13" t="s">
        <v>26</v>
      </c>
      <c r="B30" s="13"/>
      <c r="C30" s="13"/>
      <c r="D30" s="13"/>
      <c r="E30" s="33">
        <f>10000*12</f>
        <v>120000</v>
      </c>
      <c r="F30" s="6"/>
      <c r="G30" s="6"/>
      <c r="H30" s="28"/>
      <c r="I30" s="28"/>
      <c r="J30" s="2"/>
      <c r="K30" s="3"/>
      <c r="L30" s="2"/>
      <c r="M30" s="2"/>
    </row>
    <row r="31" spans="1:13" ht="19.5" customHeight="1">
      <c r="A31" s="13" t="s">
        <v>27</v>
      </c>
      <c r="B31" s="13"/>
      <c r="C31" s="13"/>
      <c r="D31" s="13"/>
      <c r="E31" s="15">
        <v>0.03</v>
      </c>
      <c r="F31" s="6"/>
      <c r="G31" s="6"/>
      <c r="H31" s="28"/>
      <c r="I31" s="28"/>
      <c r="J31" s="2"/>
      <c r="K31" s="3"/>
      <c r="L31" s="2"/>
      <c r="M31" s="2"/>
    </row>
    <row r="32" spans="1:13" ht="19.5" customHeight="1">
      <c r="A32" s="13" t="s">
        <v>28</v>
      </c>
      <c r="B32" s="13"/>
      <c r="C32" s="13"/>
      <c r="D32" s="13"/>
      <c r="E32" s="33">
        <f>E6</f>
        <v>25</v>
      </c>
      <c r="F32" s="6"/>
      <c r="G32" s="6"/>
      <c r="H32" s="28"/>
      <c r="I32" s="28"/>
      <c r="J32" s="2"/>
      <c r="K32" s="3"/>
      <c r="L32" s="2"/>
      <c r="M32" s="2"/>
    </row>
    <row r="33" spans="1:13" ht="19.5" customHeight="1">
      <c r="A33" s="13" t="s">
        <v>29</v>
      </c>
      <c r="B33" s="13"/>
      <c r="C33" s="13"/>
      <c r="D33" s="13"/>
      <c r="E33" s="34">
        <f>PV(E12,E29-E5-1,,-IF(E31=E11,E30*(E5+E32-E29)/(1+E31),E30*(((1+E31)/(1+E11))^(E5+E32-E29)-1)/(E31-E11)),1)</f>
        <v>3000000</v>
      </c>
      <c r="F33" s="6"/>
      <c r="G33" s="6"/>
      <c r="H33" s="28"/>
      <c r="I33" s="28"/>
      <c r="J33" s="2"/>
      <c r="K33" s="3"/>
      <c r="L33" s="2"/>
      <c r="M33" s="2"/>
    </row>
    <row r="34" spans="1:13" ht="19.5" customHeight="1">
      <c r="A34" s="13" t="s">
        <v>30</v>
      </c>
      <c r="B34" s="13"/>
      <c r="C34" s="13"/>
      <c r="D34" s="13"/>
      <c r="E34" s="34">
        <v>0</v>
      </c>
      <c r="F34" s="6"/>
      <c r="G34" s="6"/>
      <c r="H34" s="28"/>
      <c r="I34" s="28"/>
      <c r="J34" s="2"/>
      <c r="K34" s="3"/>
      <c r="L34" s="2"/>
      <c r="M34" s="2"/>
    </row>
    <row r="35" spans="6:13" ht="19.5" customHeight="1">
      <c r="F35" s="6"/>
      <c r="G35" s="6"/>
      <c r="H35" s="28"/>
      <c r="I35" s="28"/>
      <c r="J35" s="2"/>
      <c r="K35" s="3"/>
      <c r="L35" s="2"/>
      <c r="M35" s="2"/>
    </row>
    <row r="36" spans="1:13" ht="19.5" customHeight="1">
      <c r="A36" s="20" t="s">
        <v>31</v>
      </c>
      <c r="B36" s="21"/>
      <c r="C36" s="21"/>
      <c r="D36" s="21"/>
      <c r="E36" s="35">
        <f>E17-E21-E26-E33-E34</f>
        <v>38439750.216049165</v>
      </c>
      <c r="F36" s="6"/>
      <c r="G36" s="6"/>
      <c r="H36" s="28"/>
      <c r="I36" s="28"/>
      <c r="J36" s="2"/>
      <c r="K36" s="3"/>
      <c r="L36" s="2"/>
      <c r="M36" s="2"/>
    </row>
    <row r="37" spans="1:13" ht="19.5" customHeight="1">
      <c r="A37" s="22" t="s">
        <v>32</v>
      </c>
      <c r="B37" s="17"/>
      <c r="C37" s="17"/>
      <c r="D37" s="17"/>
      <c r="E37" s="36">
        <f>E36/IF(E23=E10,(E7*E60)*(1+E10/E60)^(E7*E60)/(1+E23/E60),(((1+E23/E60)^(E7*E60)-(1+E10/E60)^(E7*E60))/(E23/E60-E10/E60)))*E60</f>
        <v>190350.48891265524</v>
      </c>
      <c r="F37" s="6"/>
      <c r="G37" s="6"/>
      <c r="H37" s="28"/>
      <c r="I37" s="28"/>
      <c r="J37" s="2"/>
      <c r="K37" s="3"/>
      <c r="L37" s="2"/>
      <c r="M37" s="2"/>
    </row>
    <row r="38" spans="1:13" ht="20.25" customHeight="1">
      <c r="A38" s="23" t="s">
        <v>33</v>
      </c>
      <c r="B38" s="24"/>
      <c r="C38" s="24"/>
      <c r="D38" s="24"/>
      <c r="E38" s="25">
        <f>(E37+E25)/E22</f>
        <v>0.20575027161814183</v>
      </c>
      <c r="F38" s="6"/>
      <c r="G38" s="6"/>
      <c r="H38" s="28"/>
      <c r="I38" s="28"/>
      <c r="J38" s="2"/>
      <c r="K38" s="3"/>
      <c r="L38" s="2"/>
      <c r="M38" s="2"/>
    </row>
    <row r="39" spans="1:13" ht="20.25" customHeight="1">
      <c r="A39" s="54"/>
      <c r="B39" s="54"/>
      <c r="C39" s="54"/>
      <c r="D39" s="54"/>
      <c r="E39" s="16"/>
      <c r="F39" s="6"/>
      <c r="G39" s="6"/>
      <c r="H39" s="28"/>
      <c r="I39" s="28"/>
      <c r="J39" s="2"/>
      <c r="K39" s="3"/>
      <c r="L39" s="2"/>
      <c r="M39" s="2"/>
    </row>
    <row r="40" spans="1:13" ht="20.25" customHeight="1">
      <c r="A40" s="54"/>
      <c r="B40" s="54"/>
      <c r="C40" s="54"/>
      <c r="D40" s="54"/>
      <c r="E40" s="16"/>
      <c r="F40" s="6"/>
      <c r="G40" s="6"/>
      <c r="H40" s="28"/>
      <c r="I40" s="28"/>
      <c r="J40" s="2"/>
      <c r="K40" s="3"/>
      <c r="L40" s="2"/>
      <c r="M40" s="2"/>
    </row>
    <row r="41" ht="19.5" customHeight="1"/>
    <row r="42" ht="19.5" customHeight="1"/>
    <row r="43" spans="6:13" ht="15" customHeight="1">
      <c r="F43" s="6"/>
      <c r="G43" s="6"/>
      <c r="H43" s="28"/>
      <c r="I43" s="28"/>
      <c r="J43" s="2"/>
      <c r="K43" s="3"/>
      <c r="L43" s="2"/>
      <c r="M43" s="2"/>
    </row>
    <row r="44" spans="6:13" ht="15" customHeight="1">
      <c r="F44" s="6"/>
      <c r="G44" s="6"/>
      <c r="H44" s="28"/>
      <c r="I44" s="28"/>
      <c r="J44" s="2"/>
      <c r="K44" s="3"/>
      <c r="L44" s="2"/>
      <c r="M44" s="2"/>
    </row>
    <row r="45" spans="1:13" ht="12.75">
      <c r="A45" s="7"/>
      <c r="B45" s="7"/>
      <c r="C45" s="48"/>
      <c r="F45" s="6"/>
      <c r="G45" s="6"/>
      <c r="H45" s="28"/>
      <c r="I45" s="28"/>
      <c r="J45" s="6"/>
      <c r="K45" s="6"/>
      <c r="L45" s="2"/>
      <c r="M45" s="2"/>
    </row>
    <row r="46" spans="1:13" ht="14.25">
      <c r="A46" s="5"/>
      <c r="B46" s="8"/>
      <c r="C46" s="49"/>
      <c r="D46" s="41"/>
      <c r="E46" s="37"/>
      <c r="F46" s="6"/>
      <c r="G46" s="6"/>
      <c r="H46" s="28"/>
      <c r="I46" s="28"/>
      <c r="J46" s="6"/>
      <c r="K46" s="6"/>
      <c r="L46" s="2"/>
      <c r="M46" s="2"/>
    </row>
    <row r="47" spans="1:13" ht="14.25">
      <c r="A47" s="5"/>
      <c r="B47" s="8"/>
      <c r="C47" s="49"/>
      <c r="D47" s="41"/>
      <c r="E47" s="37"/>
      <c r="F47" s="6"/>
      <c r="G47" s="6"/>
      <c r="H47" s="28"/>
      <c r="I47" s="28"/>
      <c r="J47" s="6"/>
      <c r="K47" s="6"/>
      <c r="L47" s="2"/>
      <c r="M47" s="2"/>
    </row>
    <row r="48" spans="1:13" ht="14.25">
      <c r="A48" s="5"/>
      <c r="B48" s="8"/>
      <c r="C48" s="49"/>
      <c r="D48" s="41"/>
      <c r="E48" s="37"/>
      <c r="F48" s="6"/>
      <c r="G48" s="6"/>
      <c r="H48" s="28"/>
      <c r="I48" s="28"/>
      <c r="J48" s="6"/>
      <c r="K48" s="6"/>
      <c r="L48" s="2"/>
      <c r="M48" s="2"/>
    </row>
    <row r="49" spans="1:13" ht="12.75">
      <c r="A49" s="2"/>
      <c r="B49" s="2"/>
      <c r="C49" s="50"/>
      <c r="D49" s="27"/>
      <c r="E49" s="27"/>
      <c r="F49" s="2"/>
      <c r="G49" s="2"/>
      <c r="H49" s="29"/>
      <c r="I49" s="27"/>
      <c r="J49" s="2"/>
      <c r="K49" s="2"/>
      <c r="L49" s="2"/>
      <c r="M49" s="2"/>
    </row>
    <row r="50" spans="1:13" ht="12.75">
      <c r="A50" s="2"/>
      <c r="B50" s="2"/>
      <c r="C50" s="50"/>
      <c r="D50" s="27"/>
      <c r="E50" s="27"/>
      <c r="F50" s="2"/>
      <c r="G50" s="2"/>
      <c r="H50" s="29"/>
      <c r="I50" s="27"/>
      <c r="J50" s="2"/>
      <c r="K50" s="2"/>
      <c r="L50" s="2"/>
      <c r="M50" s="2"/>
    </row>
    <row r="51" spans="1:13" ht="12.75">
      <c r="A51" s="2"/>
      <c r="B51" s="2"/>
      <c r="C51" s="50"/>
      <c r="D51" s="27"/>
      <c r="E51" s="27"/>
      <c r="F51" s="2"/>
      <c r="G51" s="2"/>
      <c r="H51" s="29"/>
      <c r="I51" s="27"/>
      <c r="J51" s="2"/>
      <c r="K51" s="2"/>
      <c r="L51" s="2"/>
      <c r="M51" s="2"/>
    </row>
    <row r="52" spans="1:13" ht="12.75">
      <c r="A52" s="2"/>
      <c r="B52" s="2"/>
      <c r="C52" s="50"/>
      <c r="D52" s="27"/>
      <c r="E52" s="27"/>
      <c r="F52" s="2"/>
      <c r="G52" s="2"/>
      <c r="H52" s="27"/>
      <c r="I52" s="27"/>
      <c r="J52" s="2"/>
      <c r="K52" s="2"/>
      <c r="L52" s="2"/>
      <c r="M52" s="2"/>
    </row>
    <row r="53" spans="1:13" ht="12.75">
      <c r="A53" s="2"/>
      <c r="B53" s="2"/>
      <c r="C53" s="50"/>
      <c r="D53" s="27"/>
      <c r="E53" s="27"/>
      <c r="F53" s="2"/>
      <c r="G53" s="2"/>
      <c r="H53" s="27"/>
      <c r="I53" s="27"/>
      <c r="J53" s="2"/>
      <c r="K53" s="2"/>
      <c r="L53" s="2"/>
      <c r="M53" s="2"/>
    </row>
    <row r="54" spans="1:13" ht="12.75">
      <c r="A54" s="2"/>
      <c r="B54" s="2"/>
      <c r="C54" s="50"/>
      <c r="D54" s="27"/>
      <c r="E54" s="27"/>
      <c r="F54" s="2"/>
      <c r="G54" s="2"/>
      <c r="H54" s="31"/>
      <c r="I54" s="27"/>
      <c r="J54" s="2"/>
      <c r="K54" s="2"/>
      <c r="L54" s="2"/>
      <c r="M54" s="2"/>
    </row>
    <row r="55" spans="1:13" ht="12.75">
      <c r="A55" s="2"/>
      <c r="B55" s="2"/>
      <c r="C55" s="50"/>
      <c r="D55" s="27"/>
      <c r="E55" s="27"/>
      <c r="F55" s="2"/>
      <c r="G55" s="2"/>
      <c r="H55" s="31"/>
      <c r="I55" s="27"/>
      <c r="J55" s="2"/>
      <c r="K55" s="2"/>
      <c r="L55" s="2"/>
      <c r="M55" s="2"/>
    </row>
    <row r="56" spans="1:13" ht="12.75">
      <c r="A56" s="2"/>
      <c r="B56" s="2"/>
      <c r="C56" s="50"/>
      <c r="D56" s="27"/>
      <c r="E56" s="27"/>
      <c r="F56" s="2"/>
      <c r="G56" s="2"/>
      <c r="H56" s="31"/>
      <c r="I56" s="27"/>
      <c r="J56" s="2"/>
      <c r="K56" s="2"/>
      <c r="L56" s="2"/>
      <c r="M56" s="2"/>
    </row>
    <row r="57" spans="1:13" ht="12.75">
      <c r="A57" s="2"/>
      <c r="B57" s="2"/>
      <c r="C57" s="50"/>
      <c r="D57" s="27"/>
      <c r="E57" s="27"/>
      <c r="F57" s="2"/>
      <c r="G57" s="2"/>
      <c r="H57" s="31"/>
      <c r="I57" s="27"/>
      <c r="J57" s="2"/>
      <c r="K57" s="2"/>
      <c r="L57" s="2"/>
      <c r="M57" s="2"/>
    </row>
    <row r="58" spans="1:13" ht="12.75">
      <c r="A58" s="2"/>
      <c r="B58" s="2"/>
      <c r="C58" s="50"/>
      <c r="D58" s="38" t="s">
        <v>0</v>
      </c>
      <c r="E58" s="38" t="str">
        <f>"Сценарий: Инвестирование "&amp;ROUND(E38*100,2)&amp;"% зп"</f>
        <v>Сценарий: Инвестирование 20,58% зп</v>
      </c>
      <c r="F58" s="2"/>
      <c r="G58" s="2"/>
      <c r="H58" s="31"/>
      <c r="I58" s="27"/>
      <c r="J58" s="2"/>
      <c r="K58" s="2"/>
      <c r="L58" s="2"/>
      <c r="M58" s="2"/>
    </row>
    <row r="59" spans="1:13" ht="12.75">
      <c r="A59" s="2"/>
      <c r="B59" s="2"/>
      <c r="C59" s="50"/>
      <c r="D59" s="38" t="s">
        <v>1</v>
      </c>
      <c r="E59" s="38" t="str">
        <f>"Сценарий: Инвестирование "&amp;ROUND(E24*100,2)&amp;"% зп"</f>
        <v>Сценарий: Инвестирование 10% зп</v>
      </c>
      <c r="F59" s="2"/>
      <c r="G59" s="2"/>
      <c r="H59" s="31"/>
      <c r="I59" s="27"/>
      <c r="J59" s="2"/>
      <c r="K59" s="2"/>
      <c r="L59" s="2"/>
      <c r="M59" s="2"/>
    </row>
    <row r="60" spans="1:13" ht="14.25">
      <c r="A60" s="9"/>
      <c r="B60" s="9"/>
      <c r="C60" s="51"/>
      <c r="D60" s="42" t="s">
        <v>40</v>
      </c>
      <c r="E60" s="39">
        <v>1</v>
      </c>
      <c r="F60" s="2"/>
      <c r="G60" s="2"/>
      <c r="H60" s="31"/>
      <c r="I60" s="27"/>
      <c r="J60" s="2"/>
      <c r="K60" s="2"/>
      <c r="L60" s="2"/>
      <c r="M60" s="2"/>
    </row>
    <row r="61" spans="1:13" ht="14.25">
      <c r="A61" s="9"/>
      <c r="B61" s="9"/>
      <c r="C61" s="51"/>
      <c r="D61" s="42" t="s">
        <v>41</v>
      </c>
      <c r="E61" s="39">
        <v>1</v>
      </c>
      <c r="F61" s="2"/>
      <c r="G61" s="2"/>
      <c r="H61" s="31"/>
      <c r="I61" s="27"/>
      <c r="J61" s="2"/>
      <c r="K61" s="2"/>
      <c r="L61" s="2"/>
      <c r="M61" s="2"/>
    </row>
    <row r="62" spans="1:13" ht="12.75">
      <c r="A62" s="2"/>
      <c r="B62" s="2"/>
      <c r="C62" s="50"/>
      <c r="D62" s="27"/>
      <c r="E62" s="27"/>
      <c r="F62" s="2"/>
      <c r="G62" s="2"/>
      <c r="H62" s="31"/>
      <c r="I62" s="27"/>
      <c r="J62" s="2"/>
      <c r="K62" s="2"/>
      <c r="L62" s="2"/>
      <c r="M62" s="2"/>
    </row>
    <row r="63" spans="1:13" ht="12.75">
      <c r="A63" s="10" t="str">
        <f>TEXT(E38,"0%")&amp;" Сценарий инвестирования текущего дохода (заработной платы)"</f>
        <v>21% Сценарий инвестирования текущего дохода (заработной платы)</v>
      </c>
      <c r="B63" s="2"/>
      <c r="C63" s="50"/>
      <c r="D63" s="27"/>
      <c r="E63" s="27"/>
      <c r="F63" s="2"/>
      <c r="G63" s="2"/>
      <c r="H63" s="31"/>
      <c r="I63" s="29"/>
      <c r="J63" s="2"/>
      <c r="K63" s="2"/>
      <c r="L63" s="2"/>
      <c r="M63" s="2"/>
    </row>
    <row r="64" spans="1:13" ht="39" thickBot="1">
      <c r="A64" s="18" t="s">
        <v>34</v>
      </c>
      <c r="B64" s="18" t="s">
        <v>35</v>
      </c>
      <c r="C64" s="55" t="s">
        <v>36</v>
      </c>
      <c r="D64" s="56" t="s">
        <v>37</v>
      </c>
      <c r="E64" s="56" t="s">
        <v>38</v>
      </c>
      <c r="F64" s="18" t="s">
        <v>39</v>
      </c>
      <c r="G64" s="19" t="s">
        <v>42</v>
      </c>
      <c r="H64" s="56" t="s">
        <v>43</v>
      </c>
      <c r="I64" s="56" t="s">
        <v>44</v>
      </c>
      <c r="J64" s="2"/>
      <c r="K64" s="2"/>
      <c r="L64" s="2"/>
      <c r="M64" s="2"/>
    </row>
    <row r="65" spans="1:13" ht="15" customHeight="1">
      <c r="A65" s="57"/>
      <c r="B65" s="57"/>
      <c r="C65" s="58"/>
      <c r="D65" s="59"/>
      <c r="E65" s="59"/>
      <c r="F65" s="60"/>
      <c r="G65" s="57"/>
      <c r="H65" s="59"/>
      <c r="I65" s="61">
        <f>$E$20</f>
        <v>1000000</v>
      </c>
      <c r="J65" s="2"/>
      <c r="K65" s="2"/>
      <c r="L65" s="2"/>
      <c r="M65" s="2"/>
    </row>
    <row r="66" spans="1:13" ht="12.75">
      <c r="A66" s="62">
        <f aca="true" t="shared" si="0" ref="A66:A119">IF(A65&lt;($E$5-$E$4)+$E$6,A65+1,NA())</f>
        <v>1</v>
      </c>
      <c r="B66" s="62">
        <f aca="true" t="shared" si="1" ref="B66:B119">IF(ISERROR(A66),NA(),$E$4+A66-1)</f>
        <v>25</v>
      </c>
      <c r="C66" s="63">
        <f>IF(ISERROR(A66),NA(),IF(B66&lt;$E$5,$E$10,$E$11))</f>
        <v>0.06</v>
      </c>
      <c r="D66" s="64">
        <f>E22</f>
        <v>1800000</v>
      </c>
      <c r="E66" s="64">
        <f>IF(ISERROR(A66),NA(),IF(B66=$E$5-1,$E$34,0)+IF(A66&lt;=$E$7,$E$38*D66,0))</f>
        <v>370350.4889126553</v>
      </c>
      <c r="F66" s="65">
        <f>IF(ISERROR(A66),NA(),IF(ISERROR(B66),0,IF(AND(B66&gt;=$E$29,B66&lt;($E$29+$E$32)),$E$30*(1+$E$31)^(B66-$E$29),0)))</f>
        <v>0</v>
      </c>
      <c r="G66" s="65">
        <f>IF(ISERROR(A66),NA(),IF(B66&gt;=$E$5,D66-F66,0))</f>
        <v>0</v>
      </c>
      <c r="H66" s="64">
        <f>IF(ISERROR(A66),NA(),FV(C66/$E$60,$E$60,-(E66)/$E$60,-(I65-G66*$E$61),0)-(I65+E66-G66*$E$61))</f>
        <v>60000.00000000023</v>
      </c>
      <c r="I66" s="64">
        <f>IF(ISERROR(A66),NA(),I65+E66+H66-G66)</f>
        <v>1430350.4889126555</v>
      </c>
      <c r="J66" s="2"/>
      <c r="K66" s="11"/>
      <c r="L66" s="2"/>
      <c r="M66" s="2"/>
    </row>
    <row r="67" spans="1:13" ht="12.75">
      <c r="A67" s="62">
        <f t="shared" si="0"/>
        <v>2</v>
      </c>
      <c r="B67" s="62">
        <f t="shared" si="1"/>
        <v>26</v>
      </c>
      <c r="C67" s="63">
        <f>IF(ISERROR(A67),NA(),IF(B67&lt;$E$5,$E$10,$E$11))</f>
        <v>0.06</v>
      </c>
      <c r="D67" s="64">
        <f>IF(ISERROR(A67),NA(),IF(B67&gt;=$E$5,$E$16*(1+$E$12)^(B67-$E$5),(1+$E$23)*D66))</f>
        <v>1836000</v>
      </c>
      <c r="E67" s="64">
        <f>IF(ISERROR(A67),NA(),IF(B67=$E$5-1,$E$34,0)+IF(A67&lt;=$E$7,$E$38*D67,0))</f>
        <v>377757.49869090837</v>
      </c>
      <c r="F67" s="65">
        <f>IF(ISERROR(A67),NA(),IF(ISERROR(B67),0,IF(AND(B67&gt;=$E$29,B67&lt;($E$29+$E$32)),$E$30*(1+$E$31)^(B67-$E$29),0)))</f>
        <v>0</v>
      </c>
      <c r="G67" s="65">
        <f>IF(ISERROR(A67),NA(),IF(B67&gt;=$E$5,D67-F67,0))</f>
        <v>0</v>
      </c>
      <c r="H67" s="64">
        <f>IF(ISERROR(A67),NA(),FV(C67/$E$60,$E$60,-(E67)/$E$60,-(I66-G67*$E$61),0)-(I66+E67-G67*$E$61))</f>
        <v>85821.0293347598</v>
      </c>
      <c r="I67" s="64">
        <f>IF(ISERROR(A67),NA(),I66+E67+H67-G67)</f>
        <v>1893929.0169383236</v>
      </c>
      <c r="J67" s="2"/>
      <c r="K67" s="11"/>
      <c r="L67" s="2"/>
      <c r="M67" s="2"/>
    </row>
    <row r="68" spans="1:13" ht="12.75">
      <c r="A68" s="62">
        <f t="shared" si="0"/>
        <v>3</v>
      </c>
      <c r="B68" s="62">
        <f t="shared" si="1"/>
        <v>27</v>
      </c>
      <c r="C68" s="63">
        <f>IF(ISERROR(A68),NA(),IF(B68&lt;$E$5,$E$10,$E$11))</f>
        <v>0.06</v>
      </c>
      <c r="D68" s="64">
        <f>IF(ISERROR(A68),NA(),IF(B68&gt;=$E$5,$E$16*(1+$E$12)^(B68-$E$5),(1+$E$23)*D67))</f>
        <v>1872720</v>
      </c>
      <c r="E68" s="64">
        <f>IF(ISERROR(A68),NA(),IF(B68=$E$5-1,$E$34,0)+IF(A68&lt;=$E$7,$E$38*D68,0))</f>
        <v>385312.6486647266</v>
      </c>
      <c r="F68" s="65">
        <f>IF(ISERROR(A68),NA(),IF(ISERROR(B68),0,IF(AND(B68&gt;=$E$29,B68&lt;($E$29+$E$32)),$E$30*(1+$E$31)^(B68-$E$29),0)))</f>
        <v>0</v>
      </c>
      <c r="G68" s="65">
        <f>IF(ISERROR(A68),NA(),IF(B68&gt;=$E$5,D68-F68,0))</f>
        <v>0</v>
      </c>
      <c r="H68" s="64">
        <f>IF(ISERROR(A68),NA(),FV(C68/$E$60,$E$60,-(E68)/$E$60,-(I67-G68*$E$61),0)-(I67+E68-G68*$E$61))</f>
        <v>113635.74101629993</v>
      </c>
      <c r="I68" s="64">
        <f>IF(ISERROR(A68),NA(),I67+E68+H68-G68)</f>
        <v>2392877.40661935</v>
      </c>
      <c r="J68" s="2"/>
      <c r="K68" s="11"/>
      <c r="L68" s="2"/>
      <c r="M68" s="2"/>
    </row>
    <row r="69" spans="1:13" ht="12.75">
      <c r="A69" s="62">
        <f t="shared" si="0"/>
        <v>4</v>
      </c>
      <c r="B69" s="62">
        <f t="shared" si="1"/>
        <v>28</v>
      </c>
      <c r="C69" s="63">
        <f>IF(ISERROR(A69),NA(),IF(B69&lt;$E$5,$E$10,$E$11))</f>
        <v>0.06</v>
      </c>
      <c r="D69" s="64">
        <f>IF(ISERROR(A69),NA(),IF(B69&gt;=$E$5,$E$16*(1+$E$12)^(B69-$E$5),(1+$E$23)*D68))</f>
        <v>1910174.4000000001</v>
      </c>
      <c r="E69" s="64">
        <f>IF(ISERROR(A69),NA(),IF(B69=$E$5-1,$E$34,0)+IF(A69&lt;=$E$7,$E$38*D69,0))</f>
        <v>393018.9016380211</v>
      </c>
      <c r="F69" s="65">
        <f>IF(ISERROR(A69),NA(),IF(ISERROR(B69),0,IF(AND(B69&gt;=$E$29,B69&lt;($E$29+$E$32)),$E$30*(1+$E$31)^(B69-$E$29),0)))</f>
        <v>0</v>
      </c>
      <c r="G69" s="65">
        <f>IF(ISERROR(A69),NA(),IF(B69&gt;=$E$5,D69-F69,0))</f>
        <v>0</v>
      </c>
      <c r="H69" s="64">
        <f>IF(ISERROR(A69),NA(),FV(C69/$E$60,$E$60,-(E69)/$E$60,-(I68-G69*$E$61),0)-(I68+E69-G69*$E$61))</f>
        <v>143572.64439716097</v>
      </c>
      <c r="I69" s="64">
        <f>IF(ISERROR(A69),NA(),I68+E69+H69-G69)</f>
        <v>2929468.952654532</v>
      </c>
      <c r="J69" s="2"/>
      <c r="K69" s="11"/>
      <c r="L69" s="2"/>
      <c r="M69" s="2"/>
    </row>
    <row r="70" spans="1:13" ht="12.75">
      <c r="A70" s="62">
        <f t="shared" si="0"/>
        <v>5</v>
      </c>
      <c r="B70" s="62">
        <f t="shared" si="1"/>
        <v>29</v>
      </c>
      <c r="C70" s="63">
        <f>IF(ISERROR(A70),NA(),IF(B70&lt;$E$5,$E$10,$E$11))</f>
        <v>0.06</v>
      </c>
      <c r="D70" s="64">
        <f>IF(ISERROR(A70),NA(),IF(B70&gt;=$E$5,$E$16*(1+$E$12)^(B70-$E$5),(1+$E$23)*D69))</f>
        <v>1948377.8880000003</v>
      </c>
      <c r="E70" s="64">
        <f>IF(ISERROR(A70),NA(),IF(B70=$E$5-1,$E$34,0)+IF(A70&lt;=$E$7,$E$38*D70,0))</f>
        <v>400879.2796707816</v>
      </c>
      <c r="F70" s="65">
        <f>IF(ISERROR(A70),NA(),IF(ISERROR(B70),0,IF(AND(B70&gt;=$E$29,B70&lt;($E$29+$E$32)),$E$30*(1+$E$31)^(B70-$E$29),0)))</f>
        <v>0</v>
      </c>
      <c r="G70" s="65">
        <f>IF(ISERROR(A70),NA(),IF(B70&gt;=$E$5,D70-F70,0))</f>
        <v>0</v>
      </c>
      <c r="H70" s="64">
        <f>IF(ISERROR(A70),NA(),FV(C70/$E$60,$E$60,-(E70)/$E$60,-(I69-G70*$E$61),0)-(I69+E70-G70*$E$61))</f>
        <v>175768.13715927256</v>
      </c>
      <c r="I70" s="64">
        <f>IF(ISERROR(A70),NA(),I69+E70+H70-G70)</f>
        <v>3506116.369484586</v>
      </c>
      <c r="J70" s="2"/>
      <c r="K70" s="11"/>
      <c r="L70" s="2"/>
      <c r="M70" s="2"/>
    </row>
    <row r="71" spans="1:13" ht="12.75">
      <c r="A71" s="62">
        <f t="shared" si="0"/>
        <v>6</v>
      </c>
      <c r="B71" s="62">
        <f t="shared" si="1"/>
        <v>30</v>
      </c>
      <c r="C71" s="63">
        <f>IF(ISERROR(A71),NA(),IF(B71&lt;$E$5,$E$10,$E$11))</f>
        <v>0.06</v>
      </c>
      <c r="D71" s="64">
        <f>IF(ISERROR(A71),NA(),IF(B71&gt;=$E$5,$E$16*(1+$E$12)^(B71-$E$5),(1+$E$23)*D70))</f>
        <v>1987345.4457600003</v>
      </c>
      <c r="E71" s="64">
        <f>IF(ISERROR(A71),NA(),IF(B71=$E$5-1,$E$34,0)+IF(A71&lt;=$E$7,$E$38*D71,0))</f>
        <v>408896.86526419723</v>
      </c>
      <c r="F71" s="65">
        <f>IF(ISERROR(A71),NA(),IF(ISERROR(B71),0,IF(AND(B71&gt;=$E$29,B71&lt;($E$29+$E$32)),$E$30*(1+$E$31)^(B71-$E$29),0)))</f>
        <v>0</v>
      </c>
      <c r="G71" s="65">
        <f>IF(ISERROR(A71),NA(),IF(B71&gt;=$E$5,D71-F71,0))</f>
        <v>0</v>
      </c>
      <c r="H71" s="64">
        <f>IF(ISERROR(A71),NA(),FV(C71/$E$60,$E$60,-(E71)/$E$60,-(I70-G71*$E$61),0)-(I70+E71-G71*$E$61))</f>
        <v>210366.98216907587</v>
      </c>
      <c r="I71" s="64">
        <f>IF(ISERROR(A71),NA(),I70+E71+H71-G71)</f>
        <v>4125380.2169178594</v>
      </c>
      <c r="J71" s="2"/>
      <c r="K71" s="11"/>
      <c r="L71" s="2"/>
      <c r="M71" s="2"/>
    </row>
    <row r="72" spans="1:13" ht="12.75">
      <c r="A72" s="62">
        <f t="shared" si="0"/>
        <v>7</v>
      </c>
      <c r="B72" s="62">
        <f t="shared" si="1"/>
        <v>31</v>
      </c>
      <c r="C72" s="63">
        <f>IF(ISERROR(A72),NA(),IF(B72&lt;$E$5,$E$10,$E$11))</f>
        <v>0.06</v>
      </c>
      <c r="D72" s="64">
        <f>IF(ISERROR(A72),NA(),IF(B72&gt;=$E$5,$E$16*(1+$E$12)^(B72-$E$5),(1+$E$23)*D71))</f>
        <v>2027092.3546752003</v>
      </c>
      <c r="E72" s="64">
        <f>IF(ISERROR(A72),NA(),IF(B72=$E$5-1,$E$34,0)+IF(A72&lt;=$E$7,$E$38*D72,0))</f>
        <v>417074.80256948114</v>
      </c>
      <c r="F72" s="65">
        <f>IF(ISERROR(A72),NA(),IF(ISERROR(B72),0,IF(AND(B72&gt;=$E$29,B72&lt;($E$29+$E$32)),$E$30*(1+$E$31)^(B72-$E$29),0)))</f>
        <v>0</v>
      </c>
      <c r="G72" s="65">
        <f>IF(ISERROR(A72),NA(),IF(B72&gt;=$E$5,D72-F72,0))</f>
        <v>0</v>
      </c>
      <c r="H72" s="64">
        <f>IF(ISERROR(A72),NA(),FV(C72/$E$60,$E$60,-(E72)/$E$60,-(I71-G72*$E$61),0)-(I71+E72-G72*$E$61))</f>
        <v>247522.81301507168</v>
      </c>
      <c r="I72" s="64">
        <f>IF(ISERROR(A72),NA(),I71+E72+H72-G72)</f>
        <v>4789977.832502413</v>
      </c>
      <c r="J72" s="2"/>
      <c r="K72" s="11"/>
      <c r="L72" s="2"/>
      <c r="M72" s="2"/>
    </row>
    <row r="73" spans="1:13" ht="12.75">
      <c r="A73" s="62">
        <f t="shared" si="0"/>
        <v>8</v>
      </c>
      <c r="B73" s="62">
        <f t="shared" si="1"/>
        <v>32</v>
      </c>
      <c r="C73" s="63">
        <f>IF(ISERROR(A73),NA(),IF(B73&lt;$E$5,$E$10,$E$11))</f>
        <v>0.06</v>
      </c>
      <c r="D73" s="64">
        <f>IF(ISERROR(A73),NA(),IF(B73&gt;=$E$5,$E$16*(1+$E$12)^(B73-$E$5),(1+$E$23)*D72))</f>
        <v>2067634.2017687045</v>
      </c>
      <c r="E73" s="64">
        <f>IF(ISERROR(A73),NA(),IF(B73=$E$5-1,$E$34,0)+IF(A73&lt;=$E$7,$E$38*D73,0))</f>
        <v>425416.2986208708</v>
      </c>
      <c r="F73" s="65">
        <f>IF(ISERROR(A73),NA(),IF(ISERROR(B73),0,IF(AND(B73&gt;=$E$29,B73&lt;($E$29+$E$32)),$E$30*(1+$E$31)^(B73-$E$29),0)))</f>
        <v>0</v>
      </c>
      <c r="G73" s="65">
        <f>IF(ISERROR(A73),NA(),IF(B73&gt;=$E$5,D73-F73,0))</f>
        <v>0</v>
      </c>
      <c r="H73" s="64">
        <f>IF(ISERROR(A73),NA(),FV(C73/$E$60,$E$60,-(E73)/$E$60,-(I72-G73*$E$61),0)-(I72+E73-G73*$E$61))</f>
        <v>287398.6699501453</v>
      </c>
      <c r="I73" s="64">
        <f>IF(ISERROR(A73),NA(),I72+E73+H73-G73)</f>
        <v>5502792.801073429</v>
      </c>
      <c r="J73" s="2"/>
      <c r="K73" s="11"/>
      <c r="L73" s="2"/>
      <c r="M73" s="2"/>
    </row>
    <row r="74" spans="1:13" ht="12.75">
      <c r="A74" s="62">
        <f t="shared" si="0"/>
        <v>9</v>
      </c>
      <c r="B74" s="62">
        <f t="shared" si="1"/>
        <v>33</v>
      </c>
      <c r="C74" s="63">
        <f>IF(ISERROR(A74),NA(),IF(B74&lt;$E$5,$E$10,$E$11))</f>
        <v>0.06</v>
      </c>
      <c r="D74" s="64">
        <f>IF(ISERROR(A74),NA(),IF(B74&gt;=$E$5,$E$16*(1+$E$12)^(B74-$E$5),(1+$E$23)*D73))</f>
        <v>2108986.8858040785</v>
      </c>
      <c r="E74" s="64">
        <f>IF(ISERROR(A74),NA(),IF(B74=$E$5-1,$E$34,0)+IF(A74&lt;=$E$7,$E$38*D74,0))</f>
        <v>433924.62459328823</v>
      </c>
      <c r="F74" s="65">
        <f>IF(ISERROR(A74),NA(),IF(ISERROR(B74),0,IF(AND(B74&gt;=$E$29,B74&lt;($E$29+$E$32)),$E$30*(1+$E$31)^(B74-$E$29),0)))</f>
        <v>0</v>
      </c>
      <c r="G74" s="65">
        <f>IF(ISERROR(A74),NA(),IF(B74&gt;=$E$5,D74-F74,0))</f>
        <v>0</v>
      </c>
      <c r="H74" s="64">
        <f>IF(ISERROR(A74),NA(),FV(C74/$E$60,$E$60,-(E74)/$E$60,-(I73-G74*$E$61),0)-(I73+E74-G74*$E$61))</f>
        <v>330167.5680644056</v>
      </c>
      <c r="I74" s="64">
        <f>IF(ISERROR(A74),NA(),I73+E74+H74-G74)</f>
        <v>6266884.993731123</v>
      </c>
      <c r="J74" s="2"/>
      <c r="K74" s="11"/>
      <c r="L74" s="2"/>
      <c r="M74" s="2"/>
    </row>
    <row r="75" spans="1:13" ht="12.75">
      <c r="A75" s="62">
        <f t="shared" si="0"/>
        <v>10</v>
      </c>
      <c r="B75" s="62">
        <f t="shared" si="1"/>
        <v>34</v>
      </c>
      <c r="C75" s="63">
        <f>IF(ISERROR(A75),NA(),IF(B75&lt;$E$5,$E$10,$E$11))</f>
        <v>0.06</v>
      </c>
      <c r="D75" s="64">
        <f>IF(ISERROR(A75),NA(),IF(B75&gt;=$E$5,$E$16*(1+$E$12)^(B75-$E$5),(1+$E$23)*D74))</f>
        <v>2151166.62352016</v>
      </c>
      <c r="E75" s="64">
        <f>IF(ISERROR(A75),NA(),IF(B75=$E$5-1,$E$34,0)+IF(A75&lt;=$E$7,$E$38*D75,0))</f>
        <v>442603.117085154</v>
      </c>
      <c r="F75" s="65">
        <f>IF(ISERROR(A75),NA(),IF(ISERROR(B75),0,IF(AND(B75&gt;=$E$29,B75&lt;($E$29+$E$32)),$E$30*(1+$E$31)^(B75-$E$29),0)))</f>
        <v>0</v>
      </c>
      <c r="G75" s="65">
        <f>IF(ISERROR(A75),NA(),IF(B75&gt;=$E$5,D75-F75,0))</f>
        <v>0</v>
      </c>
      <c r="H75" s="64">
        <f>IF(ISERROR(A75),NA(),FV(C75/$E$60,$E$60,-(E75)/$E$60,-(I74-G75*$E$61),0)-(I74+E75-G75*$E$61))</f>
        <v>376013.0996238673</v>
      </c>
      <c r="I75" s="64">
        <f>IF(ISERROR(A75),NA(),I74+E75+H75-G75)</f>
        <v>7085501.210440145</v>
      </c>
      <c r="J75" s="2"/>
      <c r="K75" s="11"/>
      <c r="L75" s="2"/>
      <c r="M75" s="2"/>
    </row>
    <row r="76" spans="1:13" ht="12.75">
      <c r="A76" s="62">
        <f t="shared" si="0"/>
        <v>11</v>
      </c>
      <c r="B76" s="62">
        <f t="shared" si="1"/>
        <v>35</v>
      </c>
      <c r="C76" s="63">
        <f>IF(ISERROR(A76),NA(),IF(B76&lt;$E$5,$E$10,$E$11))</f>
        <v>0.06</v>
      </c>
      <c r="D76" s="64">
        <f>IF(ISERROR(A76),NA(),IF(B76&gt;=$E$5,$E$16*(1+$E$12)^(B76-$E$5),(1+$E$23)*D75))</f>
        <v>2194189.955990563</v>
      </c>
      <c r="E76" s="64">
        <f>IF(ISERROR(A76),NA(),IF(B76=$E$5-1,$E$34,0)+IF(A76&lt;=$E$7,$E$38*D76,0))</f>
        <v>451455.17942685704</v>
      </c>
      <c r="F76" s="65">
        <f>IF(ISERROR(A76),NA(),IF(ISERROR(B76),0,IF(AND(B76&gt;=$E$29,B76&lt;($E$29+$E$32)),$E$30*(1+$E$31)^(B76-$E$29),0)))</f>
        <v>0</v>
      </c>
      <c r="G76" s="65">
        <f>IF(ISERROR(A76),NA(),IF(B76&gt;=$E$5,D76-F76,0))</f>
        <v>0</v>
      </c>
      <c r="H76" s="64">
        <f>IF(ISERROR(A76),NA(),FV(C76/$E$60,$E$60,-(E76)/$E$60,-(I75-G76*$E$61),0)-(I75+E76-G76*$E$61))</f>
        <v>425130.0726264091</v>
      </c>
      <c r="I76" s="64">
        <f>IF(ISERROR(A76),NA(),I75+E76+H76-G76)</f>
        <v>7962086.462493411</v>
      </c>
      <c r="J76" s="2"/>
      <c r="K76" s="11"/>
      <c r="L76" s="2"/>
      <c r="M76" s="2"/>
    </row>
    <row r="77" spans="1:13" ht="12.75">
      <c r="A77" s="62">
        <f t="shared" si="0"/>
        <v>12</v>
      </c>
      <c r="B77" s="62">
        <f t="shared" si="1"/>
        <v>36</v>
      </c>
      <c r="C77" s="63">
        <f>IF(ISERROR(A77),NA(),IF(B77&lt;$E$5,$E$10,$E$11))</f>
        <v>0.06</v>
      </c>
      <c r="D77" s="64">
        <f>IF(ISERROR(A77),NA(),IF(B77&gt;=$E$5,$E$16*(1+$E$12)^(B77-$E$5),(1+$E$23)*D76))</f>
        <v>2238073.7551103747</v>
      </c>
      <c r="E77" s="64">
        <f>IF(ISERROR(A77),NA(),IF(B77=$E$5-1,$E$34,0)+IF(A77&lt;=$E$7,$E$38*D77,0))</f>
        <v>460484.28301539423</v>
      </c>
      <c r="F77" s="65">
        <f>IF(ISERROR(A77),NA(),IF(ISERROR(B77),0,IF(AND(B77&gt;=$E$29,B77&lt;($E$29+$E$32)),$E$30*(1+$E$31)^(B77-$E$29),0)))</f>
        <v>0</v>
      </c>
      <c r="G77" s="65">
        <f>IF(ISERROR(A77),NA(),IF(B77&gt;=$E$5,D77-F77,0))</f>
        <v>0</v>
      </c>
      <c r="H77" s="64">
        <f>IF(ISERROR(A77),NA(),FV(C77/$E$60,$E$60,-(E77)/$E$60,-(I76-G77*$E$61),0)-(I76+E77-G77*$E$61))</f>
        <v>477725.1877496056</v>
      </c>
      <c r="I77" s="64">
        <f>IF(ISERROR(A77),NA(),I76+E77+H77-G77)</f>
        <v>8900295.93325841</v>
      </c>
      <c r="J77" s="2"/>
      <c r="K77" s="11"/>
      <c r="L77" s="2"/>
      <c r="M77" s="2"/>
    </row>
    <row r="78" spans="1:13" ht="12.75">
      <c r="A78" s="62">
        <f t="shared" si="0"/>
        <v>13</v>
      </c>
      <c r="B78" s="62">
        <f t="shared" si="1"/>
        <v>37</v>
      </c>
      <c r="C78" s="63">
        <f>IF(ISERROR(A78),NA(),IF(B78&lt;$E$5,$E$10,$E$11))</f>
        <v>0.06</v>
      </c>
      <c r="D78" s="64">
        <f>IF(ISERROR(A78),NA(),IF(B78&gt;=$E$5,$E$16*(1+$E$12)^(B78-$E$5),(1+$E$23)*D77))</f>
        <v>2282835.2302125823</v>
      </c>
      <c r="E78" s="64">
        <f>IF(ISERROR(A78),NA(),IF(B78=$E$5-1,$E$34,0)+IF(A78&lt;=$E$7,$E$38*D78,0))</f>
        <v>469693.9686757021</v>
      </c>
      <c r="F78" s="65">
        <f>IF(ISERROR(A78),NA(),IF(ISERROR(B78),0,IF(AND(B78&gt;=$E$29,B78&lt;($E$29+$E$32)),$E$30*(1+$E$31)^(B78-$E$29),0)))</f>
        <v>0</v>
      </c>
      <c r="G78" s="65">
        <f>IF(ISERROR(A78),NA(),IF(B78&gt;=$E$5,D78-F78,0))</f>
        <v>0</v>
      </c>
      <c r="H78" s="64">
        <f>IF(ISERROR(A78),NA(),FV(C78/$E$60,$E$60,-(E78)/$E$60,-(I77-G78*$E$61),0)-(I77+E78-G78*$E$61))</f>
        <v>534017.7559955046</v>
      </c>
      <c r="I78" s="64">
        <f>IF(ISERROR(A78),NA(),I77+E78+H78-G78)</f>
        <v>9904007.657929618</v>
      </c>
      <c r="J78" s="2"/>
      <c r="K78" s="11"/>
      <c r="L78" s="2"/>
      <c r="M78" s="2"/>
    </row>
    <row r="79" spans="1:13" ht="12.75">
      <c r="A79" s="62">
        <f t="shared" si="0"/>
        <v>14</v>
      </c>
      <c r="B79" s="62">
        <f t="shared" si="1"/>
        <v>38</v>
      </c>
      <c r="C79" s="63">
        <f>IF(ISERROR(A79),NA(),IF(B79&lt;$E$5,$E$10,$E$11))</f>
        <v>0.06</v>
      </c>
      <c r="D79" s="64">
        <f>IF(ISERROR(A79),NA(),IF(B79&gt;=$E$5,$E$16*(1+$E$12)^(B79-$E$5),(1+$E$23)*D78))</f>
        <v>2328491.934816834</v>
      </c>
      <c r="E79" s="64">
        <f>IF(ISERROR(A79),NA(),IF(B79=$E$5-1,$E$34,0)+IF(A79&lt;=$E$7,$E$38*D79,0))</f>
        <v>479087.8480492162</v>
      </c>
      <c r="F79" s="65">
        <f>IF(ISERROR(A79),NA(),IF(ISERROR(B79),0,IF(AND(B79&gt;=$E$29,B79&lt;($E$29+$E$32)),$E$30*(1+$E$31)^(B79-$E$29),0)))</f>
        <v>0</v>
      </c>
      <c r="G79" s="65">
        <f>IF(ISERROR(A79),NA(),IF(B79&gt;=$E$5,D79-F79,0))</f>
        <v>0</v>
      </c>
      <c r="H79" s="64">
        <f>IF(ISERROR(A79),NA(),FV(C79/$E$60,$E$60,-(E79)/$E$60,-(I78-G79*$E$61),0)-(I78+E79-G79*$E$61))</f>
        <v>594240.459475778</v>
      </c>
      <c r="I79" s="64">
        <f>IF(ISERROR(A79),NA(),I78+E79+H79-G79)</f>
        <v>10977335.965454612</v>
      </c>
      <c r="J79" s="2"/>
      <c r="K79" s="11"/>
      <c r="L79" s="2"/>
      <c r="M79" s="2"/>
    </row>
    <row r="80" spans="1:13" ht="12.75">
      <c r="A80" s="62">
        <f t="shared" si="0"/>
        <v>15</v>
      </c>
      <c r="B80" s="62">
        <f t="shared" si="1"/>
        <v>39</v>
      </c>
      <c r="C80" s="63">
        <f>IF(ISERROR(A80),NA(),IF(B80&lt;$E$5,$E$10,$E$11))</f>
        <v>0.06</v>
      </c>
      <c r="D80" s="64">
        <f>IF(ISERROR(A80),NA(),IF(B80&gt;=$E$5,$E$16*(1+$E$12)^(B80-$E$5),(1+$E$23)*D79))</f>
        <v>2375061.773513171</v>
      </c>
      <c r="E80" s="64">
        <f>IF(ISERROR(A80),NA(),IF(B80=$E$5-1,$E$34,0)+IF(A80&lt;=$E$7,$E$38*D80,0))</f>
        <v>488669.6050102006</v>
      </c>
      <c r="F80" s="65">
        <f>IF(ISERROR(A80),NA(),IF(ISERROR(B80),0,IF(AND(B80&gt;=$E$29,B80&lt;($E$29+$E$32)),$E$30*(1+$E$31)^(B80-$E$29),0)))</f>
        <v>0</v>
      </c>
      <c r="G80" s="65">
        <f>IF(ISERROR(A80),NA(),IF(B80&gt;=$E$5,D80-F80,0))</f>
        <v>0</v>
      </c>
      <c r="H80" s="64">
        <f>IF(ISERROR(A80),NA(),FV(C80/$E$60,$E$60,-(E80)/$E$60,-(I79-G80*$E$61),0)-(I79+E80-G80*$E$61))</f>
        <v>658640.1579272766</v>
      </c>
      <c r="I80" s="64">
        <f>IF(ISERROR(A80),NA(),I79+E80+H80-G80)</f>
        <v>12124645.728392089</v>
      </c>
      <c r="J80" s="2"/>
      <c r="K80" s="11"/>
      <c r="L80" s="2"/>
      <c r="M80" s="2"/>
    </row>
    <row r="81" spans="1:13" ht="12.75">
      <c r="A81" s="62">
        <f t="shared" si="0"/>
        <v>16</v>
      </c>
      <c r="B81" s="62">
        <f t="shared" si="1"/>
        <v>40</v>
      </c>
      <c r="C81" s="63">
        <f>IF(ISERROR(A81),NA(),IF(B81&lt;$E$5,$E$10,$E$11))</f>
        <v>0.06</v>
      </c>
      <c r="D81" s="64">
        <f>IF(ISERROR(A81),NA(),IF(B81&gt;=$E$5,$E$16*(1+$E$12)^(B81-$E$5),(1+$E$23)*D80))</f>
        <v>2422563.008983434</v>
      </c>
      <c r="E81" s="64">
        <f>IF(ISERROR(A81),NA(),IF(B81=$E$5-1,$E$34,0)+IF(A81&lt;=$E$7,$E$38*D81,0))</f>
        <v>498442.99711040454</v>
      </c>
      <c r="F81" s="65">
        <f>IF(ISERROR(A81),NA(),IF(ISERROR(B81),0,IF(AND(B81&gt;=$E$29,B81&lt;($E$29+$E$32)),$E$30*(1+$E$31)^(B81-$E$29),0)))</f>
        <v>0</v>
      </c>
      <c r="G81" s="65">
        <f>IF(ISERROR(A81),NA(),IF(B81&gt;=$E$5,D81-F81,0))</f>
        <v>0</v>
      </c>
      <c r="H81" s="64">
        <f>IF(ISERROR(A81),NA(),FV(C81/$E$60,$E$60,-(E81)/$E$60,-(I80-G81*$E$61),0)-(I80+E81-G81*$E$61))</f>
        <v>727478.7437035274</v>
      </c>
      <c r="I81" s="64">
        <f>IF(ISERROR(A81),NA(),I80+E81+H81-G81)</f>
        <v>13350567.46920602</v>
      </c>
      <c r="J81" s="2"/>
      <c r="K81" s="11"/>
      <c r="L81" s="2"/>
      <c r="M81" s="2"/>
    </row>
    <row r="82" spans="1:13" ht="12.75">
      <c r="A82" s="62">
        <f t="shared" si="0"/>
        <v>17</v>
      </c>
      <c r="B82" s="62">
        <f t="shared" si="1"/>
        <v>41</v>
      </c>
      <c r="C82" s="63">
        <f>IF(ISERROR(A82),NA(),IF(B82&lt;$E$5,$E$10,$E$11))</f>
        <v>0.06</v>
      </c>
      <c r="D82" s="64">
        <f>IF(ISERROR(A82),NA(),IF(B82&gt;=$E$5,$E$16*(1+$E$12)^(B82-$E$5),(1+$E$23)*D81))</f>
        <v>2471014.269163103</v>
      </c>
      <c r="E82" s="64">
        <f>IF(ISERROR(A82),NA(),IF(B82=$E$5-1,$E$34,0)+IF(A82&lt;=$E$7,$E$38*D82,0))</f>
        <v>508411.85705261264</v>
      </c>
      <c r="F82" s="65">
        <f>IF(ISERROR(A82),NA(),IF(ISERROR(B82),0,IF(AND(B82&gt;=$E$29,B82&lt;($E$29+$E$32)),$E$30*(1+$E$31)^(B82-$E$29),0)))</f>
        <v>0</v>
      </c>
      <c r="G82" s="65">
        <f>IF(ISERROR(A82),NA(),IF(B82&gt;=$E$5,D82-F82,0))</f>
        <v>0</v>
      </c>
      <c r="H82" s="64">
        <f>IF(ISERROR(A82),NA(),FV(C82/$E$60,$E$60,-(E82)/$E$60,-(I81-G82*$E$61),0)-(I81+E82-G82*$E$61))</f>
        <v>801034.0481523611</v>
      </c>
      <c r="I82" s="64">
        <f>IF(ISERROR(A82),NA(),I81+E82+H82-G82)</f>
        <v>14660013.374410994</v>
      </c>
      <c r="J82" s="2"/>
      <c r="K82" s="11"/>
      <c r="L82" s="2"/>
      <c r="M82" s="2"/>
    </row>
    <row r="83" spans="1:13" ht="12.75">
      <c r="A83" s="62">
        <f t="shared" si="0"/>
        <v>18</v>
      </c>
      <c r="B83" s="62">
        <f t="shared" si="1"/>
        <v>42</v>
      </c>
      <c r="C83" s="63">
        <f>IF(ISERROR(A83),NA(),IF(B83&lt;$E$5,$E$10,$E$11))</f>
        <v>0.06</v>
      </c>
      <c r="D83" s="64">
        <f>IF(ISERROR(A83),NA(),IF(B83&gt;=$E$5,$E$16*(1+$E$12)^(B83-$E$5),(1+$E$23)*D82))</f>
        <v>2520434.554546365</v>
      </c>
      <c r="E83" s="64">
        <f>IF(ISERROR(A83),NA(),IF(B83=$E$5-1,$E$34,0)+IF(A83&lt;=$E$7,$E$38*D83,0))</f>
        <v>518580.0941936649</v>
      </c>
      <c r="F83" s="65">
        <f>IF(ISERROR(A83),NA(),IF(ISERROR(B83),0,IF(AND(B83&gt;=$E$29,B83&lt;($E$29+$E$32)),$E$30*(1+$E$31)^(B83-$E$29),0)))</f>
        <v>0</v>
      </c>
      <c r="G83" s="65">
        <f>IF(ISERROR(A83),NA(),IF(B83&gt;=$E$5,D83-F83,0))</f>
        <v>0</v>
      </c>
      <c r="H83" s="64">
        <f>IF(ISERROR(A83),NA(),FV(C83/$E$60,$E$60,-(E83)/$E$60,-(I82-G83*$E$61),0)-(I82+E83-G83*$E$61))</f>
        <v>879600.8024646603</v>
      </c>
      <c r="I83" s="64">
        <f>IF(ISERROR(A83),NA(),I82+E83+H83-G83)</f>
        <v>16058194.27106932</v>
      </c>
      <c r="J83" s="2"/>
      <c r="K83" s="11"/>
      <c r="L83" s="2"/>
      <c r="M83" s="2"/>
    </row>
    <row r="84" spans="1:13" ht="12.75">
      <c r="A84" s="62">
        <f t="shared" si="0"/>
        <v>19</v>
      </c>
      <c r="B84" s="62">
        <f t="shared" si="1"/>
        <v>43</v>
      </c>
      <c r="C84" s="63">
        <f>IF(ISERROR(A84),NA(),IF(B84&lt;$E$5,$E$10,$E$11))</f>
        <v>0.06</v>
      </c>
      <c r="D84" s="64">
        <f>IF(ISERROR(A84),NA(),IF(B84&gt;=$E$5,$E$16*(1+$E$12)^(B84-$E$5),(1+$E$23)*D83))</f>
        <v>2570843.2456372925</v>
      </c>
      <c r="E84" s="64">
        <f>IF(ISERROR(A84),NA(),IF(B84=$E$5-1,$E$34,0)+IF(A84&lt;=$E$7,$E$38*D84,0))</f>
        <v>528951.6960775382</v>
      </c>
      <c r="F84" s="65">
        <f>IF(ISERROR(A84),NA(),IF(ISERROR(B84),0,IF(AND(B84&gt;=$E$29,B84&lt;($E$29+$E$32)),$E$30*(1+$E$31)^(B84-$E$29),0)))</f>
        <v>0</v>
      </c>
      <c r="G84" s="65">
        <f>IF(ISERROR(A84),NA(),IF(B84&gt;=$E$5,D84-F84,0))</f>
        <v>0</v>
      </c>
      <c r="H84" s="64">
        <f>IF(ISERROR(A84),NA(),FV(C84/$E$60,$E$60,-(E84)/$E$60,-(I83-G84*$E$61),0)-(I83+E84-G84*$E$61))</f>
        <v>963491.6562641636</v>
      </c>
      <c r="I84" s="64">
        <f>IF(ISERROR(A84),NA(),I83+E84+H84-G84)</f>
        <v>17550637.623411022</v>
      </c>
      <c r="J84" s="2"/>
      <c r="K84" s="11"/>
      <c r="L84" s="2"/>
      <c r="M84" s="2"/>
    </row>
    <row r="85" spans="1:13" ht="12.75">
      <c r="A85" s="62">
        <f t="shared" si="0"/>
        <v>20</v>
      </c>
      <c r="B85" s="62">
        <f t="shared" si="1"/>
        <v>44</v>
      </c>
      <c r="C85" s="63">
        <f>IF(ISERROR(A85),NA(),IF(B85&lt;$E$5,$E$10,$E$11))</f>
        <v>0.06</v>
      </c>
      <c r="D85" s="64">
        <f>IF(ISERROR(A85),NA(),IF(B85&gt;=$E$5,$E$16*(1+$E$12)^(B85-$E$5),(1+$E$23)*D84))</f>
        <v>2622260.1105500385</v>
      </c>
      <c r="E85" s="64">
        <f>IF(ISERROR(A85),NA(),IF(B85=$E$5-1,$E$34,0)+IF(A85&lt;=$E$7,$E$38*D85,0))</f>
        <v>539530.729999089</v>
      </c>
      <c r="F85" s="65">
        <f>IF(ISERROR(A85),NA(),IF(ISERROR(B85),0,IF(AND(B85&gt;=$E$29,B85&lt;($E$29+$E$32)),$E$30*(1+$E$31)^(B85-$E$29),0)))</f>
        <v>0</v>
      </c>
      <c r="G85" s="65">
        <f>IF(ISERROR(A85),NA(),IF(B85&gt;=$E$5,D85-F85,0))</f>
        <v>0</v>
      </c>
      <c r="H85" s="64">
        <f>IF(ISERROR(A85),NA(),FV(C85/$E$60,$E$60,-(E85)/$E$60,-(I84-G85*$E$61),0)-(I84+E85-G85*$E$61))</f>
        <v>1053038.2574046627</v>
      </c>
      <c r="I85" s="64">
        <f>IF(ISERROR(A85),NA(),I84+E85+H85-G85)</f>
        <v>19143206.610814773</v>
      </c>
      <c r="J85" s="2"/>
      <c r="K85" s="11"/>
      <c r="L85" s="2"/>
      <c r="M85" s="2"/>
    </row>
    <row r="86" spans="1:13" ht="12.75">
      <c r="A86" s="62">
        <f t="shared" si="0"/>
        <v>21</v>
      </c>
      <c r="B86" s="62">
        <f t="shared" si="1"/>
        <v>45</v>
      </c>
      <c r="C86" s="63">
        <f>IF(ISERROR(A86),NA(),IF(B86&lt;$E$5,$E$10,$E$11))</f>
        <v>0.06</v>
      </c>
      <c r="D86" s="64">
        <f>IF(ISERROR(A86),NA(),IF(B86&gt;=$E$5,$E$16*(1+$E$12)^(B86-$E$5),(1+$E$23)*D85))</f>
        <v>2674705.3127610395</v>
      </c>
      <c r="E86" s="64">
        <f>IF(ISERROR(A86),NA(),IF(B86=$E$5-1,$E$34,0)+IF(A86&lt;=$E$7,$E$38*D86,0))</f>
        <v>550321.3445990708</v>
      </c>
      <c r="F86" s="65">
        <f>IF(ISERROR(A86),NA(),IF(ISERROR(B86),0,IF(AND(B86&gt;=$E$29,B86&lt;($E$29+$E$32)),$E$30*(1+$E$31)^(B86-$E$29),0)))</f>
        <v>0</v>
      </c>
      <c r="G86" s="65">
        <f>IF(ISERROR(A86),NA(),IF(B86&gt;=$E$5,D86-F86,0))</f>
        <v>0</v>
      </c>
      <c r="H86" s="64">
        <f>IF(ISERROR(A86),NA(),FV(C86/$E$60,$E$60,-(E86)/$E$60,-(I85-G86*$E$61),0)-(I85+E86-G86*$E$61))</f>
        <v>1148592.3966488875</v>
      </c>
      <c r="I86" s="64">
        <f>IF(ISERROR(A86),NA(),I85+E86+H86-G86)</f>
        <v>20842120.352062732</v>
      </c>
      <c r="J86" s="2"/>
      <c r="K86" s="11"/>
      <c r="L86" s="2"/>
      <c r="M86" s="2"/>
    </row>
    <row r="87" spans="1:13" ht="12.75">
      <c r="A87" s="62">
        <f t="shared" si="0"/>
        <v>22</v>
      </c>
      <c r="B87" s="62">
        <f t="shared" si="1"/>
        <v>46</v>
      </c>
      <c r="C87" s="63">
        <f>IF(ISERROR(A87),NA(),IF(B87&lt;$E$5,$E$10,$E$11))</f>
        <v>0.06</v>
      </c>
      <c r="D87" s="64">
        <f>IF(ISERROR(A87),NA(),IF(B87&gt;=$E$5,$E$16*(1+$E$12)^(B87-$E$5),(1+$E$23)*D86))</f>
        <v>2728199.41901626</v>
      </c>
      <c r="E87" s="64">
        <f>IF(ISERROR(A87),NA(),IF(B87=$E$5-1,$E$34,0)+IF(A87&lt;=$E$7,$E$38*D87,0))</f>
        <v>561327.7714910522</v>
      </c>
      <c r="F87" s="65">
        <f>IF(ISERROR(A87),NA(),IF(ISERROR(B87),0,IF(AND(B87&gt;=$E$29,B87&lt;($E$29+$E$32)),$E$30*(1+$E$31)^(B87-$E$29),0)))</f>
        <v>0</v>
      </c>
      <c r="G87" s="65">
        <f>IF(ISERROR(A87),NA(),IF(B87&gt;=$E$5,D87-F87,0))</f>
        <v>0</v>
      </c>
      <c r="H87" s="64">
        <f>IF(ISERROR(A87),NA(),FV(C87/$E$60,$E$60,-(E87)/$E$60,-(I86-G87*$E$61),0)-(I86+E87-G87*$E$61))</f>
        <v>1250527.2211237699</v>
      </c>
      <c r="I87" s="64">
        <f>IF(ISERROR(A87),NA(),I86+E87+H87-G87)</f>
        <v>22653975.344677553</v>
      </c>
      <c r="J87" s="2"/>
      <c r="K87" s="11"/>
      <c r="L87" s="2"/>
      <c r="M87" s="2"/>
    </row>
    <row r="88" spans="1:13" ht="12.75">
      <c r="A88" s="62">
        <f t="shared" si="0"/>
        <v>23</v>
      </c>
      <c r="B88" s="62">
        <f t="shared" si="1"/>
        <v>47</v>
      </c>
      <c r="C88" s="63">
        <f>IF(ISERROR(A88),NA(),IF(B88&lt;$E$5,$E$10,$E$11))</f>
        <v>0.06</v>
      </c>
      <c r="D88" s="64">
        <f>IF(ISERROR(A88),NA(),IF(B88&gt;=$E$5,$E$16*(1+$E$12)^(B88-$E$5),(1+$E$23)*D87))</f>
        <v>2782763.407396585</v>
      </c>
      <c r="E88" s="64">
        <f>IF(ISERROR(A88),NA(),IF(B88=$E$5-1,$E$34,0)+IF(A88&lt;=$E$7,$E$38*D88,0))</f>
        <v>572554.3269208733</v>
      </c>
      <c r="F88" s="65">
        <f>IF(ISERROR(A88),NA(),IF(ISERROR(B88),0,IF(AND(B88&gt;=$E$29,B88&lt;($E$29+$E$32)),$E$30*(1+$E$31)^(B88-$E$29),0)))</f>
        <v>0</v>
      </c>
      <c r="G88" s="65">
        <f>IF(ISERROR(A88),NA(),IF(B88&gt;=$E$5,D88-F88,0))</f>
        <v>0</v>
      </c>
      <c r="H88" s="64">
        <f>IF(ISERROR(A88),NA(),FV(C88/$E$60,$E$60,-(E88)/$E$60,-(I87-G88*$E$61),0)-(I87+E88-G88*$E$61))</f>
        <v>1359238.5206806548</v>
      </c>
      <c r="I88" s="64">
        <f>IF(ISERROR(A88),NA(),I87+E88+H88-G88)</f>
        <v>24585768.19227908</v>
      </c>
      <c r="J88" s="2"/>
      <c r="K88" s="11"/>
      <c r="L88" s="2"/>
      <c r="M88" s="2"/>
    </row>
    <row r="89" spans="1:13" ht="12.75">
      <c r="A89" s="62">
        <f t="shared" si="0"/>
        <v>24</v>
      </c>
      <c r="B89" s="62">
        <f t="shared" si="1"/>
        <v>48</v>
      </c>
      <c r="C89" s="63">
        <f>IF(ISERROR(A89),NA(),IF(B89&lt;$E$5,$E$10,$E$11))</f>
        <v>0.06</v>
      </c>
      <c r="D89" s="64">
        <f>IF(ISERROR(A89),NA(),IF(B89&gt;=$E$5,$E$16*(1+$E$12)^(B89-$E$5),(1+$E$23)*D88))</f>
        <v>2838418.675544517</v>
      </c>
      <c r="E89" s="64">
        <f>IF(ISERROR(A89),NA(),IF(B89=$E$5-1,$E$34,0)+IF(A89&lt;=$E$7,$E$38*D89,0))</f>
        <v>584005.4134592908</v>
      </c>
      <c r="F89" s="65">
        <f>IF(ISERROR(A89),NA(),IF(ISERROR(B89),0,IF(AND(B89&gt;=$E$29,B89&lt;($E$29+$E$32)),$E$30*(1+$E$31)^(B89-$E$29),0)))</f>
        <v>0</v>
      </c>
      <c r="G89" s="65">
        <f>IF(ISERROR(A89),NA(),IF(B89&gt;=$E$5,D89-F89,0))</f>
        <v>0</v>
      </c>
      <c r="H89" s="64">
        <f>IF(ISERROR(A89),NA(),FV(C89/$E$60,$E$60,-(E89)/$E$60,-(I88-G89*$E$61),0)-(I88+E89-G89*$E$61))</f>
        <v>1475146.0915367454</v>
      </c>
      <c r="I89" s="64">
        <f>IF(ISERROR(A89),NA(),I88+E89+H89-G89)</f>
        <v>26644919.697275117</v>
      </c>
      <c r="J89" s="2"/>
      <c r="K89" s="11"/>
      <c r="L89" s="2"/>
      <c r="M89" s="2"/>
    </row>
    <row r="90" spans="1:13" ht="12.75">
      <c r="A90" s="62">
        <f t="shared" si="0"/>
        <v>25</v>
      </c>
      <c r="B90" s="62">
        <f t="shared" si="1"/>
        <v>49</v>
      </c>
      <c r="C90" s="63">
        <f>IF(ISERROR(A90),NA(),IF(B90&lt;$E$5,$E$10,$E$11))</f>
        <v>0.06</v>
      </c>
      <c r="D90" s="64">
        <f>IF(ISERROR(A90),NA(),IF(B90&gt;=$E$5,$E$16*(1+$E$12)^(B90-$E$5),(1+$E$23)*D89))</f>
        <v>2895187.0490554073</v>
      </c>
      <c r="E90" s="64">
        <f>IF(ISERROR(A90),NA(),IF(B90=$E$5-1,$E$34,0)+IF(A90&lt;=$E$7,$E$38*D90,0))</f>
        <v>595685.5217284765</v>
      </c>
      <c r="F90" s="65">
        <f>IF(ISERROR(A90),NA(),IF(ISERROR(B90),0,IF(AND(B90&gt;=$E$29,B90&lt;($E$29+$E$32)),$E$30*(1+$E$31)^(B90-$E$29),0)))</f>
        <v>0</v>
      </c>
      <c r="G90" s="65">
        <f>IF(ISERROR(A90),NA(),IF(B90&gt;=$E$5,D90-F90,0))</f>
        <v>0</v>
      </c>
      <c r="H90" s="64">
        <f>IF(ISERROR(A90),NA(),FV(C90/$E$60,$E$60,-(E90)/$E$60,-(I89-G90*$E$61),0)-(I89+E90-G90*$E$61))</f>
        <v>1598695.1818365082</v>
      </c>
      <c r="I90" s="64">
        <f>IF(ISERROR(A90),NA(),I89+E90+H90-G90)</f>
        <v>28839300.400840104</v>
      </c>
      <c r="J90" s="2"/>
      <c r="K90" s="11"/>
      <c r="L90" s="2"/>
      <c r="M90" s="2"/>
    </row>
    <row r="91" spans="1:13" ht="12.75">
      <c r="A91" s="62">
        <f t="shared" si="0"/>
        <v>26</v>
      </c>
      <c r="B91" s="62">
        <f t="shared" si="1"/>
        <v>50</v>
      </c>
      <c r="C91" s="63">
        <f>IF(ISERROR(A91),NA(),IF(B91&lt;$E$5,$E$10,$E$11))</f>
        <v>0.06</v>
      </c>
      <c r="D91" s="64">
        <f>IF(ISERROR(A91),NA(),IF(B91&gt;=$E$5,$E$16*(1+$E$12)^(B91-$E$5),(1+$E$23)*D90))</f>
        <v>2953090.7900365153</v>
      </c>
      <c r="E91" s="64">
        <f>IF(ISERROR(A91),NA(),IF(B91=$E$5-1,$E$34,0)+IF(A91&lt;=$E$7,$E$38*D91,0))</f>
        <v>607599.232163046</v>
      </c>
      <c r="F91" s="65">
        <f>IF(ISERROR(A91),NA(),IF(ISERROR(B91),0,IF(AND(B91&gt;=$E$29,B91&lt;($E$29+$E$32)),$E$30*(1+$E$31)^(B91-$E$29),0)))</f>
        <v>0</v>
      </c>
      <c r="G91" s="65">
        <f>IF(ISERROR(A91),NA(),IF(B91&gt;=$E$5,D91-F91,0))</f>
        <v>0</v>
      </c>
      <c r="H91" s="64">
        <f>IF(ISERROR(A91),NA(),FV(C91/$E$60,$E$60,-(E91)/$E$60,-(I90-G91*$E$61),0)-(I90+E91-G91*$E$61))</f>
        <v>1730358.024050407</v>
      </c>
      <c r="I91" s="64">
        <f>IF(ISERROR(A91),NA(),I90+E91+H91-G91)</f>
        <v>31177257.657053556</v>
      </c>
      <c r="J91" s="2"/>
      <c r="K91" s="11"/>
      <c r="L91" s="2"/>
      <c r="M91" s="2"/>
    </row>
    <row r="92" spans="1:13" ht="12.75">
      <c r="A92" s="62">
        <f t="shared" si="0"/>
        <v>27</v>
      </c>
      <c r="B92" s="62">
        <f t="shared" si="1"/>
        <v>51</v>
      </c>
      <c r="C92" s="63">
        <f>IF(ISERROR(A92),NA(),IF(B92&lt;$E$5,$E$10,$E$11))</f>
        <v>0.06</v>
      </c>
      <c r="D92" s="64">
        <f>IF(ISERROR(A92),NA(),IF(B92&gt;=$E$5,$E$16*(1+$E$12)^(B92-$E$5),(1+$E$23)*D91))</f>
        <v>3012152.6058372455</v>
      </c>
      <c r="E92" s="64">
        <f>IF(ISERROR(A92),NA(),IF(B92=$E$5-1,$E$34,0)+IF(A92&lt;=$E$7,$E$38*D92,0))</f>
        <v>619751.216806307</v>
      </c>
      <c r="F92" s="65">
        <f>IF(ISERROR(A92),NA(),IF(ISERROR(B92),0,IF(AND(B92&gt;=$E$29,B92&lt;($E$29+$E$32)),$E$30*(1+$E$31)^(B92-$E$29),0)))</f>
        <v>0</v>
      </c>
      <c r="G92" s="65">
        <f>IF(ISERROR(A92),NA(),IF(B92&gt;=$E$5,D92-F92,0))</f>
        <v>0</v>
      </c>
      <c r="H92" s="64">
        <f>IF(ISERROR(A92),NA(),FV(C92/$E$60,$E$60,-(E92)/$E$60,-(I91-G92*$E$61),0)-(I91+E92-G92*$E$61))</f>
        <v>1870635.459423218</v>
      </c>
      <c r="I92" s="64">
        <f>IF(ISERROR(A92),NA(),I91+E92+H92-G92)</f>
        <v>33667644.33328308</v>
      </c>
      <c r="J92" s="2"/>
      <c r="K92" s="11"/>
      <c r="L92" s="2"/>
      <c r="M92" s="2"/>
    </row>
    <row r="93" spans="1:13" ht="12.75">
      <c r="A93" s="62">
        <f t="shared" si="0"/>
        <v>28</v>
      </c>
      <c r="B93" s="62">
        <f t="shared" si="1"/>
        <v>52</v>
      </c>
      <c r="C93" s="63">
        <f>IF(ISERROR(A93),NA(),IF(B93&lt;$E$5,$E$10,$E$11))</f>
        <v>0.06</v>
      </c>
      <c r="D93" s="64">
        <f>IF(ISERROR(A93),NA(),IF(B93&gt;=$E$5,$E$16*(1+$E$12)^(B93-$E$5),(1+$E$23)*D92))</f>
        <v>3072395.6579539906</v>
      </c>
      <c r="E93" s="64">
        <f>IF(ISERROR(A93),NA(),IF(B93=$E$5-1,$E$34,0)+IF(A93&lt;=$E$7,$E$38*D93,0))</f>
        <v>632146.2411424331</v>
      </c>
      <c r="F93" s="65">
        <f>IF(ISERROR(A93),NA(),IF(ISERROR(B93),0,IF(AND(B93&gt;=$E$29,B93&lt;($E$29+$E$32)),$E$30*(1+$E$31)^(B93-$E$29),0)))</f>
        <v>0</v>
      </c>
      <c r="G93" s="65">
        <f>IF(ISERROR(A93),NA(),IF(B93&gt;=$E$5,D93-F93,0))</f>
        <v>0</v>
      </c>
      <c r="H93" s="64">
        <f>IF(ISERROR(A93),NA(),FV(C93/$E$60,$E$60,-(E93)/$E$60,-(I92-G93*$E$61),0)-(I92+E93-G93*$E$61))</f>
        <v>2020058.6599969864</v>
      </c>
      <c r="I93" s="64">
        <f>IF(ISERROR(A93),NA(),I92+E93+H93-G93)</f>
        <v>36319849.234422505</v>
      </c>
      <c r="J93" s="2"/>
      <c r="K93" s="11"/>
      <c r="L93" s="2"/>
      <c r="M93" s="2"/>
    </row>
    <row r="94" spans="1:13" ht="12.75">
      <c r="A94" s="62">
        <f t="shared" si="0"/>
        <v>29</v>
      </c>
      <c r="B94" s="62">
        <f t="shared" si="1"/>
        <v>53</v>
      </c>
      <c r="C94" s="63">
        <f>IF(ISERROR(A94),NA(),IF(B94&lt;$E$5,$E$10,$E$11))</f>
        <v>0.06</v>
      </c>
      <c r="D94" s="64">
        <f>IF(ISERROR(A94),NA(),IF(B94&gt;=$E$5,$E$16*(1+$E$12)^(B94-$E$5),(1+$E$23)*D93))</f>
        <v>3133843.5711130705</v>
      </c>
      <c r="E94" s="64">
        <f>IF(ISERROR(A94),NA(),IF(B94=$E$5-1,$E$34,0)+IF(A94&lt;=$E$7,$E$38*D94,0))</f>
        <v>644789.1659652818</v>
      </c>
      <c r="F94" s="65">
        <f>IF(ISERROR(A94),NA(),IF(ISERROR(B94),0,IF(AND(B94&gt;=$E$29,B94&lt;($E$29+$E$32)),$E$30*(1+$E$31)^(B94-$E$29),0)))</f>
        <v>0</v>
      </c>
      <c r="G94" s="65">
        <f>IF(ISERROR(A94),NA(),IF(B94&gt;=$E$5,D94-F94,0))</f>
        <v>0</v>
      </c>
      <c r="H94" s="64">
        <f>IF(ISERROR(A94),NA(),FV(C94/$E$60,$E$60,-(E94)/$E$60,-(I93-G94*$E$61),0)-(I93+E94-G94*$E$61))</f>
        <v>2179190.9540653527</v>
      </c>
      <c r="I94" s="64">
        <f>IF(ISERROR(A94),NA(),I93+E94+H94-G94)</f>
        <v>39143829.35445314</v>
      </c>
      <c r="J94" s="2"/>
      <c r="K94" s="11"/>
      <c r="L94" s="2"/>
      <c r="M94" s="2"/>
    </row>
    <row r="95" spans="1:13" ht="12.75">
      <c r="A95" s="62">
        <f t="shared" si="0"/>
        <v>30</v>
      </c>
      <c r="B95" s="62">
        <f t="shared" si="1"/>
        <v>54</v>
      </c>
      <c r="C95" s="63">
        <f>IF(ISERROR(A95),NA(),IF(B95&lt;$E$5,$E$10,$E$11))</f>
        <v>0.06</v>
      </c>
      <c r="D95" s="64">
        <f>IF(ISERROR(A95),NA(),IF(B95&gt;=$E$5,$E$16*(1+$E$12)^(B95-$E$5),(1+$E$23)*D94))</f>
        <v>3196520.442535332</v>
      </c>
      <c r="E95" s="64">
        <f>IF(ISERROR(A95),NA(),IF(B95=$E$5-1,$E$34,0)+IF(A95&lt;=$E$7,$E$38*D95,0))</f>
        <v>657684.9492845874</v>
      </c>
      <c r="F95" s="65">
        <f>IF(ISERROR(A95),NA(),IF(ISERROR(B95),0,IF(AND(B95&gt;=$E$29,B95&lt;($E$29+$E$32)),$E$30*(1+$E$31)^(B95-$E$29),0)))</f>
        <v>0</v>
      </c>
      <c r="G95" s="65">
        <f>IF(ISERROR(A95),NA(),IF(B95&gt;=$E$5,D95-F95,0))</f>
        <v>0</v>
      </c>
      <c r="H95" s="64">
        <f>IF(ISERROR(A95),NA(),FV(C95/$E$60,$E$60,-(E95)/$E$60,-(I94-G95*$E$61),0)-(I94+E95-G95*$E$61))</f>
        <v>2348629.7612671927</v>
      </c>
      <c r="I95" s="64">
        <f>IF(ISERROR(A95),NA(),I94+E95+H95-G95)</f>
        <v>42150144.06500492</v>
      </c>
      <c r="J95" s="2"/>
      <c r="K95" s="11"/>
      <c r="L95" s="2"/>
      <c r="M95" s="2"/>
    </row>
    <row r="96" spans="1:13" ht="12.75">
      <c r="A96" s="62">
        <f t="shared" si="0"/>
        <v>31</v>
      </c>
      <c r="B96" s="62">
        <f t="shared" si="1"/>
        <v>55</v>
      </c>
      <c r="C96" s="63">
        <f>IF(ISERROR(A96),NA(),IF(B96&lt;$E$5,$E$10,$E$11))</f>
        <v>0.06</v>
      </c>
      <c r="D96" s="64">
        <f>IF(ISERROR(A96),NA(),IF(B96&gt;=$E$5,$E$16*(1+$E$12)^(B96-$E$5),(1+$E$23)*D95))</f>
        <v>3260450.8513860386</v>
      </c>
      <c r="E96" s="64">
        <f>IF(ISERROR(A96),NA(),IF(B96=$E$5-1,$E$34,0)+IF(A96&lt;=$E$7,$E$38*D96,0))</f>
        <v>670838.6482702792</v>
      </c>
      <c r="F96" s="65">
        <f>IF(ISERROR(A96),NA(),IF(ISERROR(B96),0,IF(AND(B96&gt;=$E$29,B96&lt;($E$29+$E$32)),$E$30*(1+$E$31)^(B96-$E$29),0)))</f>
        <v>0</v>
      </c>
      <c r="G96" s="65">
        <f>IF(ISERROR(A96),NA(),IF(B96&gt;=$E$5,D96-F96,0))</f>
        <v>0</v>
      </c>
      <c r="H96" s="64">
        <f>IF(ISERROR(A96),NA(),FV(C96/$E$60,$E$60,-(E96)/$E$60,-(I95-G96*$E$61),0)-(I95+E96-G96*$E$61))</f>
        <v>2529008.6439002976</v>
      </c>
      <c r="I96" s="64">
        <f>IF(ISERROR(A96),NA(),I95+E96+H96-G96)</f>
        <v>45349991.3571755</v>
      </c>
      <c r="J96" s="2"/>
      <c r="K96" s="11"/>
      <c r="L96" s="2"/>
      <c r="M96" s="2"/>
    </row>
    <row r="97" spans="1:13" ht="12.75">
      <c r="A97" s="62">
        <f t="shared" si="0"/>
        <v>32</v>
      </c>
      <c r="B97" s="62">
        <f t="shared" si="1"/>
        <v>56</v>
      </c>
      <c r="C97" s="63">
        <f>IF(ISERROR(A97),NA(),IF(B97&lt;$E$5,$E$10,$E$11))</f>
        <v>0.06</v>
      </c>
      <c r="D97" s="64">
        <f>IF(ISERROR(A97),NA(),IF(B97&gt;=$E$5,$E$16*(1+$E$12)^(B97-$E$5),(1+$E$23)*D96))</f>
        <v>3325659.8684137594</v>
      </c>
      <c r="E97" s="64">
        <f>IF(ISERROR(A97),NA(),IF(B97=$E$5-1,$E$34,0)+IF(A97&lt;=$E$7,$E$38*D97,0))</f>
        <v>684255.4212356848</v>
      </c>
      <c r="F97" s="65">
        <f>IF(ISERROR(A97),NA(),IF(ISERROR(B97),0,IF(AND(B97&gt;=$E$29,B97&lt;($E$29+$E$32)),$E$30*(1+$E$31)^(B97-$E$29),0)))</f>
        <v>0</v>
      </c>
      <c r="G97" s="65">
        <f>IF(ISERROR(A97),NA(),IF(B97&gt;=$E$5,D97-F97,0))</f>
        <v>0</v>
      </c>
      <c r="H97" s="64">
        <f>IF(ISERROR(A97),NA(),FV(C97/$E$60,$E$60,-(E97)/$E$60,-(I96-G97*$E$61),0)-(I96+E97-G97*$E$61))</f>
        <v>2720999.4814305305</v>
      </c>
      <c r="I97" s="64">
        <f>IF(ISERROR(A97),NA(),I96+E97+H97-G97)</f>
        <v>48755246.25984172</v>
      </c>
      <c r="J97" s="2"/>
      <c r="K97" s="11"/>
      <c r="L97" s="2"/>
      <c r="M97" s="2"/>
    </row>
    <row r="98" spans="1:13" ht="12.75">
      <c r="A98" s="62">
        <f t="shared" si="0"/>
        <v>33</v>
      </c>
      <c r="B98" s="62">
        <f t="shared" si="1"/>
        <v>57</v>
      </c>
      <c r="C98" s="63">
        <f>IF(ISERROR(A98),NA(),IF(B98&lt;$E$5,$E$10,$E$11))</f>
        <v>0.06</v>
      </c>
      <c r="D98" s="64">
        <f>IF(ISERROR(A98),NA(),IF(B98&gt;=$E$5,$E$16*(1+$E$12)^(B98-$E$5),(1+$E$23)*D97))</f>
        <v>3392173.065782035</v>
      </c>
      <c r="E98" s="64">
        <f>IF(ISERROR(A98),NA(),IF(B98=$E$5-1,$E$34,0)+IF(A98&lt;=$E$7,$E$38*D98,0))</f>
        <v>697940.5296603985</v>
      </c>
      <c r="F98" s="65">
        <f>IF(ISERROR(A98),NA(),IF(ISERROR(B98),0,IF(AND(B98&gt;=$E$29,B98&lt;($E$29+$E$32)),$E$30*(1+$E$31)^(B98-$E$29),0)))</f>
        <v>0</v>
      </c>
      <c r="G98" s="65">
        <f>IF(ISERROR(A98),NA(),IF(B98&gt;=$E$5,D98-F98,0))</f>
        <v>0</v>
      </c>
      <c r="H98" s="64">
        <f>IF(ISERROR(A98),NA(),FV(C98/$E$60,$E$60,-(E98)/$E$60,-(I97-G98*$E$61),0)-(I97+E98-G98*$E$61))</f>
        <v>2925314.775590509</v>
      </c>
      <c r="I98" s="64">
        <f>IF(ISERROR(A98),NA(),I97+E98+H98-G98)</f>
        <v>52378501.56509262</v>
      </c>
      <c r="J98" s="2"/>
      <c r="K98" s="11"/>
      <c r="L98" s="2"/>
      <c r="M98" s="2"/>
    </row>
    <row r="99" spans="1:13" ht="12.75">
      <c r="A99" s="62">
        <f t="shared" si="0"/>
        <v>34</v>
      </c>
      <c r="B99" s="62">
        <f t="shared" si="1"/>
        <v>58</v>
      </c>
      <c r="C99" s="63">
        <f>IF(ISERROR(A99),NA(),IF(B99&lt;$E$5,$E$10,$E$11))</f>
        <v>0.06</v>
      </c>
      <c r="D99" s="64">
        <f>IF(ISERROR(A99),NA(),IF(B99&gt;=$E$5,$E$16*(1+$E$12)^(B99-$E$5),(1+$E$23)*D98))</f>
        <v>3460016.5270976755</v>
      </c>
      <c r="E99" s="64">
        <f>IF(ISERROR(A99),NA(),IF(B99=$E$5-1,$E$34,0)+IF(A99&lt;=$E$7,$E$38*D99,0))</f>
        <v>711899.3402536066</v>
      </c>
      <c r="F99" s="65">
        <f>IF(ISERROR(A99),NA(),IF(ISERROR(B99),0,IF(AND(B99&gt;=$E$29,B99&lt;($E$29+$E$32)),$E$30*(1+$E$31)^(B99-$E$29),0)))</f>
        <v>0</v>
      </c>
      <c r="G99" s="65">
        <f>IF(ISERROR(A99),NA(),IF(B99&gt;=$E$5,D99-F99,0))</f>
        <v>0</v>
      </c>
      <c r="H99" s="64">
        <f>IF(ISERROR(A99),NA(),FV(C99/$E$60,$E$60,-(E99)/$E$60,-(I98-G99*$E$61),0)-(I98+E99-G99*$E$61))</f>
        <v>3142710.0939055607</v>
      </c>
      <c r="I99" s="64">
        <f>IF(ISERROR(A99),NA(),I98+E99+H99-G99)</f>
        <v>56233110.99925179</v>
      </c>
      <c r="J99" s="2"/>
      <c r="K99" s="11"/>
      <c r="L99" s="2"/>
      <c r="M99" s="2"/>
    </row>
    <row r="100" spans="1:13" ht="12.75">
      <c r="A100" s="62">
        <f t="shared" si="0"/>
        <v>35</v>
      </c>
      <c r="B100" s="62">
        <f t="shared" si="1"/>
        <v>59</v>
      </c>
      <c r="C100" s="63">
        <f>IF(ISERROR(A100),NA(),IF(B100&lt;$E$5,$E$10,$E$11))</f>
        <v>0.06</v>
      </c>
      <c r="D100" s="64">
        <f>IF(ISERROR(A100),NA(),IF(B100&gt;=$E$5,$E$16*(1+$E$12)^(B100-$E$5),(1+$E$23)*D99))</f>
        <v>3529216.857639629</v>
      </c>
      <c r="E100" s="64">
        <f>IF(ISERROR(A100),NA(),IF(B100=$E$5-1,$E$34,0)+IF(A100&lt;=$E$7,$E$38*D100,0))</f>
        <v>726137.3270586786</v>
      </c>
      <c r="F100" s="65">
        <f>IF(ISERROR(A100),NA(),IF(ISERROR(B100),0,IF(AND(B100&gt;=$E$29,B100&lt;($E$29+$E$32)),$E$30*(1+$E$31)^(B100-$E$29),0)))</f>
        <v>0</v>
      </c>
      <c r="G100" s="65">
        <f>IF(ISERROR(A100),NA(),IF(B100&gt;=$E$5,D100-F100,0))</f>
        <v>0</v>
      </c>
      <c r="H100" s="64">
        <f>IF(ISERROR(A100),NA(),FV(C100/$E$60,$E$60,-(E100)/$E$60,-(I99-G100*$E$61),0)-(I99+E100-G100*$E$61))</f>
        <v>3373986.659955114</v>
      </c>
      <c r="I100" s="64">
        <f>IF(ISERROR(A100),NA(),I99+E100+H100-G100)</f>
        <v>60333234.986265585</v>
      </c>
      <c r="J100" s="2"/>
      <c r="K100" s="11"/>
      <c r="L100" s="2"/>
      <c r="M100" s="2"/>
    </row>
    <row r="101" spans="1:13" ht="12.75">
      <c r="A101" s="62">
        <f t="shared" si="0"/>
        <v>36</v>
      </c>
      <c r="B101" s="62">
        <f t="shared" si="1"/>
        <v>60</v>
      </c>
      <c r="C101" s="63">
        <f>IF(ISERROR(A101),NA(),IF(B101&lt;$E$5,$E$10,$E$11))</f>
        <v>0.06</v>
      </c>
      <c r="D101" s="64">
        <f>IF(ISERROR(A101),NA(),IF(B101&gt;=$E$5,$E$16*(1+$E$12)^(B101-$E$5),(1+$E$23)*D100))</f>
        <v>3599801.1947924215</v>
      </c>
      <c r="E101" s="64">
        <f>IF(ISERROR(A101),NA(),IF(B101=$E$5-1,$E$34,0)+IF(A101&lt;=$E$7,$E$38*D101,0))</f>
        <v>740660.0735998522</v>
      </c>
      <c r="F101" s="65">
        <f>IF(ISERROR(A101),NA(),IF(ISERROR(B101),0,IF(AND(B101&gt;=$E$29,B101&lt;($E$29+$E$32)),$E$30*(1+$E$31)^(B101-$E$29),0)))</f>
        <v>0</v>
      </c>
      <c r="G101" s="65">
        <f>IF(ISERROR(A101),NA(),IF(B101&gt;=$E$5,D101-F101,0))</f>
        <v>0</v>
      </c>
      <c r="H101" s="64">
        <f>IF(ISERROR(A101),NA(),FV(C101/$E$60,$E$60,-(E101)/$E$60,-(I100-G101*$E$61),0)-(I100+E101-G101*$E$61))</f>
        <v>3619994.0991759375</v>
      </c>
      <c r="I101" s="64">
        <f>IF(ISERROR(A101),NA(),I100+E101+H101-G101)</f>
        <v>64693889.159041375</v>
      </c>
      <c r="J101" s="2"/>
      <c r="K101" s="11"/>
      <c r="L101" s="2"/>
      <c r="M101" s="2"/>
    </row>
    <row r="102" spans="1:13" ht="12.75">
      <c r="A102" s="62">
        <f t="shared" si="0"/>
        <v>37</v>
      </c>
      <c r="B102" s="62">
        <f t="shared" si="1"/>
        <v>61</v>
      </c>
      <c r="C102" s="63">
        <f>IF(ISERROR(A102),NA(),IF(B102&lt;$E$5,$E$10,$E$11))</f>
        <v>0.06</v>
      </c>
      <c r="D102" s="64">
        <f>IF(ISERROR(A102),NA(),IF(B102&gt;=$E$5,$E$16*(1+$E$12)^(B102-$E$5),(1+$E$23)*D101))</f>
        <v>3671797.21868827</v>
      </c>
      <c r="E102" s="64">
        <f>IF(ISERROR(A102),NA(),IF(B102=$E$5-1,$E$34,0)+IF(A102&lt;=$E$7,$E$38*D102,0))</f>
        <v>755473.2750718492</v>
      </c>
      <c r="F102" s="65">
        <f>IF(ISERROR(A102),NA(),IF(ISERROR(B102),0,IF(AND(B102&gt;=$E$29,B102&lt;($E$29+$E$32)),$E$30*(1+$E$31)^(B102-$E$29),0)))</f>
        <v>0</v>
      </c>
      <c r="G102" s="65">
        <f>IF(ISERROR(A102),NA(),IF(B102&gt;=$E$5,D102-F102,0))</f>
        <v>0</v>
      </c>
      <c r="H102" s="64">
        <f>IF(ISERROR(A102),NA(),FV(C102/$E$60,$E$60,-(E102)/$E$60,-(I101-G102*$E$61),0)-(I101+E102-G102*$E$61))</f>
        <v>3881633.3495424762</v>
      </c>
      <c r="I102" s="64">
        <f>IF(ISERROR(A102),NA(),I101+E102+H102-G102)</f>
        <v>69330995.7836557</v>
      </c>
      <c r="J102" s="2"/>
      <c r="K102" s="11"/>
      <c r="L102" s="2"/>
      <c r="M102" s="2"/>
    </row>
    <row r="103" spans="1:13" ht="12.75">
      <c r="A103" s="62">
        <f t="shared" si="0"/>
        <v>38</v>
      </c>
      <c r="B103" s="62">
        <f t="shared" si="1"/>
        <v>62</v>
      </c>
      <c r="C103" s="63">
        <f>IF(ISERROR(A103),NA(),IF(B103&lt;$E$5,$E$10,$E$11))</f>
        <v>0.06</v>
      </c>
      <c r="D103" s="64">
        <f>IF(ISERROR(A103),NA(),IF(B103&gt;=$E$5,$E$16*(1+$E$12)^(B103-$E$5),(1+$E$23)*D102))</f>
        <v>3745233.1630620356</v>
      </c>
      <c r="E103" s="64">
        <f>IF(ISERROR(A103),NA(),IF(B103=$E$5-1,$E$34,0)+IF(A103&lt;=$E$7,$E$38*D103,0))</f>
        <v>770582.7405732863</v>
      </c>
      <c r="F103" s="65">
        <f>IF(ISERROR(A103),NA(),IF(ISERROR(B103),0,IF(AND(B103&gt;=$E$29,B103&lt;($E$29+$E$32)),$E$30*(1+$E$31)^(B103-$E$29),0)))</f>
        <v>0</v>
      </c>
      <c r="G103" s="65">
        <f>IF(ISERROR(A103),NA(),IF(B103&gt;=$E$5,D103-F103,0))</f>
        <v>0</v>
      </c>
      <c r="H103" s="64">
        <f>IF(ISERROR(A103),NA(),FV(C103/$E$60,$E$60,-(E103)/$E$60,-(I102-G103*$E$61),0)-(I102+E103-G103*$E$61))</f>
        <v>4159859.7470193505</v>
      </c>
      <c r="I103" s="64">
        <f>IF(ISERROR(A103),NA(),I102+E103+H103-G103)</f>
        <v>74261438.27124834</v>
      </c>
      <c r="J103" s="2"/>
      <c r="K103" s="11"/>
      <c r="L103" s="2"/>
      <c r="M103" s="2"/>
    </row>
    <row r="104" spans="1:13" ht="12.75">
      <c r="A104" s="62">
        <f t="shared" si="0"/>
        <v>39</v>
      </c>
      <c r="B104" s="62">
        <f t="shared" si="1"/>
        <v>63</v>
      </c>
      <c r="C104" s="63">
        <f>IF(ISERROR(A104),NA(),IF(B104&lt;$E$5,$E$10,$E$11))</f>
        <v>0.06</v>
      </c>
      <c r="D104" s="64">
        <f>IF(ISERROR(A104),NA(),IF(B104&gt;=$E$5,$E$16*(1+$E$12)^(B104-$E$5),(1+$E$23)*D103))</f>
        <v>3820137.8263232764</v>
      </c>
      <c r="E104" s="64">
        <f>IF(ISERROR(A104),NA(),IF(B104=$E$5-1,$E$34,0)+IF(A104&lt;=$E$7,$E$38*D104,0))</f>
        <v>785994.3953847521</v>
      </c>
      <c r="F104" s="65">
        <f>IF(ISERROR(A104),NA(),IF(ISERROR(B104),0,IF(AND(B104&gt;=$E$29,B104&lt;($E$29+$E$32)),$E$30*(1+$E$31)^(B104-$E$29),0)))</f>
        <v>0</v>
      </c>
      <c r="G104" s="65">
        <f>IF(ISERROR(A104),NA(),IF(B104&gt;=$E$5,D104-F104,0))</f>
        <v>0</v>
      </c>
      <c r="H104" s="64">
        <f>IF(ISERROR(A104),NA(),FV(C104/$E$60,$E$60,-(E104)/$E$60,-(I103-G104*$E$61),0)-(I103+E104-G104*$E$61))</f>
        <v>4455686.2962749</v>
      </c>
      <c r="I104" s="64">
        <f>IF(ISERROR(A104),NA(),I103+E104+H104-G104)</f>
        <v>79503118.962908</v>
      </c>
      <c r="J104" s="2"/>
      <c r="K104" s="11"/>
      <c r="L104" s="2"/>
      <c r="M104" s="2"/>
    </row>
    <row r="105" spans="1:13" ht="12.75">
      <c r="A105" s="62">
        <f t="shared" si="0"/>
        <v>40</v>
      </c>
      <c r="B105" s="62">
        <f t="shared" si="1"/>
        <v>64</v>
      </c>
      <c r="C105" s="63">
        <f>IF(ISERROR(A105),NA(),IF(B105&lt;$E$5,$E$10,$E$11))</f>
        <v>0.06</v>
      </c>
      <c r="D105" s="64">
        <f>IF(ISERROR(A105),NA(),IF(B105&gt;=$E$5,$E$16*(1+$E$12)^(B105-$E$5),(1+$E$23)*D104))</f>
        <v>3896540.582849742</v>
      </c>
      <c r="E105" s="64">
        <f>IF(ISERROR(A105),NA(),IF(B105=$E$5-1,$E$34,0)+IF(A105&lt;=$E$7,$E$38*D105,0))</f>
        <v>801714.2832924471</v>
      </c>
      <c r="F105" s="65">
        <f>IF(ISERROR(A105),NA(),IF(ISERROR(B105),0,IF(AND(B105&gt;=$E$29,B105&lt;($E$29+$E$32)),$E$30*(1+$E$31)^(B105-$E$29),0)))</f>
        <v>0</v>
      </c>
      <c r="G105" s="65">
        <f>IF(ISERROR(A105),NA(),IF(B105&gt;=$E$5,D105-F105,0))</f>
        <v>0</v>
      </c>
      <c r="H105" s="64">
        <f>IF(ISERROR(A105),NA(),FV(C105/$E$60,$E$60,-(E105)/$E$60,-(I104-G105*$E$61),0)-(I104+E105-G105*$E$61))</f>
        <v>4770187.137774482</v>
      </c>
      <c r="I105" s="64">
        <f>IF(ISERROR(A105),NA(),I104+E105+H105-G105)</f>
        <v>85075020.38397492</v>
      </c>
      <c r="J105" s="2"/>
      <c r="K105" s="11"/>
      <c r="L105" s="2"/>
      <c r="M105" s="2"/>
    </row>
    <row r="106" spans="1:13" ht="12.75">
      <c r="A106" s="62">
        <f t="shared" si="0"/>
        <v>41</v>
      </c>
      <c r="B106" s="62">
        <f t="shared" si="1"/>
        <v>65</v>
      </c>
      <c r="C106" s="63">
        <f>IF(ISERROR(A106),NA(),IF(B106&lt;$E$5,$E$10,$E$11))</f>
        <v>0.03</v>
      </c>
      <c r="D106" s="64">
        <f>IF(ISERROR(A106),NA(),IF(B106&gt;=$E$5,$E$16*(1+$E$12)^(B106-$E$5),(1+$E$23)*D105))</f>
        <v>3523000.815358998</v>
      </c>
      <c r="E106" s="64">
        <f>IF(ISERROR(A106),NA(),IF(B106=$E$5-1,$E$34,0)+IF(A106&lt;=$E$7,$E$38*D106,0))</f>
        <v>0</v>
      </c>
      <c r="F106" s="65">
        <f>IF(ISERROR(A106),NA(),IF(ISERROR(B106),0,IF(AND(B106&gt;=$E$29,B106&lt;($E$29+$E$32)),$E$30*(1+$E$31)^(B106-$E$29),0)))</f>
        <v>120000</v>
      </c>
      <c r="G106" s="65">
        <f>IF(ISERROR(A106),NA(),IF(B106&gt;=$E$5,D106-F106,0))</f>
        <v>3403000.815358998</v>
      </c>
      <c r="H106" s="64">
        <f>IF(ISERROR(A106),NA(),FV(C106/$E$60,$E$60,-(E106)/$E$60,-(I105-G106*$E$61),0)-(I105+E106-G106*$E$61))</f>
        <v>2450160.5870584846</v>
      </c>
      <c r="I106" s="64">
        <f>IF(ISERROR(A106),NA(),I105+E106+H106-G106)</f>
        <v>84122180.15567441</v>
      </c>
      <c r="J106" s="2"/>
      <c r="K106" s="11"/>
      <c r="L106" s="2"/>
      <c r="M106" s="2"/>
    </row>
    <row r="107" spans="1:13" ht="12.75">
      <c r="A107" s="62">
        <f t="shared" si="0"/>
        <v>42</v>
      </c>
      <c r="B107" s="62">
        <f t="shared" si="1"/>
        <v>66</v>
      </c>
      <c r="C107" s="63">
        <f>IF(ISERROR(A107),NA(),IF(B107&lt;$E$5,$E$10,$E$11))</f>
        <v>0.03</v>
      </c>
      <c r="D107" s="64">
        <f>IF(ISERROR(A107),NA(),IF(B107&gt;=$E$5,$E$16*(1+$E$12)^(B107-$E$5),(1+$E$23)*D106))</f>
        <v>3628690.839819768</v>
      </c>
      <c r="E107" s="64">
        <f>IF(ISERROR(A107),NA(),IF(B107=$E$5-1,$E$34,0)+IF(A107&lt;=$E$7,$E$38*D107,0))</f>
        <v>0</v>
      </c>
      <c r="F107" s="65">
        <f>IF(ISERROR(A107),NA(),IF(ISERROR(B107),0,IF(AND(B107&gt;=$E$29,B107&lt;($E$29+$E$32)),$E$30*(1+$E$31)^(B107-$E$29),0)))</f>
        <v>123600</v>
      </c>
      <c r="G107" s="65">
        <f>IF(ISERROR(A107),NA(),IF(B107&gt;=$E$5,D107-F107,0))</f>
        <v>3505090.839819768</v>
      </c>
      <c r="H107" s="64">
        <f>IF(ISERROR(A107),NA(),FV(C107/$E$60,$E$60,-(E107)/$E$60,-(I106-G107*$E$61),0)-(I106+E107-G107*$E$61))</f>
        <v>2418512.6794756353</v>
      </c>
      <c r="I107" s="64">
        <f>IF(ISERROR(A107),NA(),I106+E107+H107-G107)</f>
        <v>83035601.99533027</v>
      </c>
      <c r="J107" s="2"/>
      <c r="K107" s="11"/>
      <c r="L107" s="2"/>
      <c r="M107" s="2"/>
    </row>
    <row r="108" spans="1:13" ht="12.75">
      <c r="A108" s="62">
        <f t="shared" si="0"/>
        <v>43</v>
      </c>
      <c r="B108" s="62">
        <f t="shared" si="1"/>
        <v>67</v>
      </c>
      <c r="C108" s="63">
        <f>IF(ISERROR(A108),NA(),IF(B108&lt;$E$5,$E$10,$E$11))</f>
        <v>0.03</v>
      </c>
      <c r="D108" s="64">
        <f>IF(ISERROR(A108),NA(),IF(B108&gt;=$E$5,$E$16*(1+$E$12)^(B108-$E$5),(1+$E$23)*D107))</f>
        <v>3737551.5650143605</v>
      </c>
      <c r="E108" s="64">
        <f>IF(ISERROR(A108),NA(),IF(B108=$E$5-1,$E$34,0)+IF(A108&lt;=$E$7,$E$38*D108,0))</f>
        <v>0</v>
      </c>
      <c r="F108" s="65">
        <f>IF(ISERROR(A108),NA(),IF(ISERROR(B108),0,IF(AND(B108&gt;=$E$29,B108&lt;($E$29+$E$32)),$E$30*(1+$E$31)^(B108-$E$29),0)))</f>
        <v>127308</v>
      </c>
      <c r="G108" s="65">
        <f>IF(ISERROR(A108),NA(),IF(B108&gt;=$E$5,D108-F108,0))</f>
        <v>3610243.5650143605</v>
      </c>
      <c r="H108" s="64">
        <f>IF(ISERROR(A108),NA(),FV(C108/$E$60,$E$60,-(E108)/$E$60,-(I107-G108*$E$61),0)-(I107+E108-G108*$E$61))</f>
        <v>2382760.7529094815</v>
      </c>
      <c r="I108" s="64">
        <f>IF(ISERROR(A108),NA(),I107+E108+H108-G108)</f>
        <v>81808119.1832254</v>
      </c>
      <c r="J108" s="2"/>
      <c r="K108" s="11"/>
      <c r="L108" s="2"/>
      <c r="M108" s="2"/>
    </row>
    <row r="109" spans="1:13" ht="12.75">
      <c r="A109" s="62">
        <f t="shared" si="0"/>
        <v>44</v>
      </c>
      <c r="B109" s="62">
        <f t="shared" si="1"/>
        <v>68</v>
      </c>
      <c r="C109" s="63">
        <f>IF(ISERROR(A109),NA(),IF(B109&lt;$E$5,$E$10,$E$11))</f>
        <v>0.03</v>
      </c>
      <c r="D109" s="64">
        <f>IF(ISERROR(A109),NA(),IF(B109&gt;=$E$5,$E$16*(1+$E$12)^(B109-$E$5),(1+$E$23)*D108))</f>
        <v>3849678.1119647915</v>
      </c>
      <c r="E109" s="64">
        <f>IF(ISERROR(A109),NA(),IF(B109=$E$5-1,$E$34,0)+IF(A109&lt;=$E$7,$E$38*D109,0))</f>
        <v>0</v>
      </c>
      <c r="F109" s="65">
        <f>IF(ISERROR(A109),NA(),IF(ISERROR(B109),0,IF(AND(B109&gt;=$E$29,B109&lt;($E$29+$E$32)),$E$30*(1+$E$31)^(B109-$E$29),0)))</f>
        <v>131127.24</v>
      </c>
      <c r="G109" s="65">
        <f>IF(ISERROR(A109),NA(),IF(B109&gt;=$E$5,D109-F109,0))</f>
        <v>3718550.871964792</v>
      </c>
      <c r="H109" s="64">
        <f>IF(ISERROR(A109),NA(),FV(C109/$E$60,$E$60,-(E109)/$E$60,-(I108-G109*$E$61),0)-(I108+E109-G109*$E$61))</f>
        <v>2342687.049337819</v>
      </c>
      <c r="I109" s="64">
        <f>IF(ISERROR(A109),NA(),I108+E109+H109-G109)</f>
        <v>80432255.36059842</v>
      </c>
      <c r="J109" s="2"/>
      <c r="K109" s="11"/>
      <c r="L109" s="2"/>
      <c r="M109" s="2"/>
    </row>
    <row r="110" spans="1:13" ht="12.75">
      <c r="A110" s="62">
        <f t="shared" si="0"/>
        <v>45</v>
      </c>
      <c r="B110" s="62">
        <f t="shared" si="1"/>
        <v>69</v>
      </c>
      <c r="C110" s="63">
        <f>IF(ISERROR(A110),NA(),IF(B110&lt;$E$5,$E$10,$E$11))</f>
        <v>0.03</v>
      </c>
      <c r="D110" s="64">
        <f>IF(ISERROR(A110),NA(),IF(B110&gt;=$E$5,$E$16*(1+$E$12)^(B110-$E$5),(1+$E$23)*D109))</f>
        <v>3965168.4553237353</v>
      </c>
      <c r="E110" s="64">
        <f>IF(ISERROR(A110),NA(),IF(B110=$E$5-1,$E$34,0)+IF(A110&lt;=$E$7,$E$38*D110,0))</f>
        <v>0</v>
      </c>
      <c r="F110" s="65">
        <f>IF(ISERROR(A110),NA(),IF(ISERROR(B110),0,IF(AND(B110&gt;=$E$29,B110&lt;($E$29+$E$32)),$E$30*(1+$E$31)^(B110-$E$29),0)))</f>
        <v>135061.05719999998</v>
      </c>
      <c r="G110" s="65">
        <f>IF(ISERROR(A110),NA(),IF(B110&gt;=$E$5,D110-F110,0))</f>
        <v>3830107.398123735</v>
      </c>
      <c r="H110" s="64">
        <f>IF(ISERROR(A110),NA(),FV(C110/$E$60,$E$60,-(E110)/$E$60,-(I109-G110*$E$61),0)-(I109+E110-G110*$E$61))</f>
        <v>2298064.4388742447</v>
      </c>
      <c r="I110" s="64">
        <f>IF(ISERROR(A110),NA(),I109+E110+H110-G110)</f>
        <v>78900212.40134892</v>
      </c>
      <c r="J110" s="2"/>
      <c r="K110" s="11"/>
      <c r="L110" s="2"/>
      <c r="M110" s="2"/>
    </row>
    <row r="111" spans="1:13" ht="12.75">
      <c r="A111" s="62">
        <f t="shared" si="0"/>
        <v>46</v>
      </c>
      <c r="B111" s="62">
        <f t="shared" si="1"/>
        <v>70</v>
      </c>
      <c r="C111" s="63">
        <f>IF(ISERROR(A111),NA(),IF(B111&lt;$E$5,$E$10,$E$11))</f>
        <v>0.03</v>
      </c>
      <c r="D111" s="64">
        <f>IF(ISERROR(A111),NA(),IF(B111&gt;=$E$5,$E$16*(1+$E$12)^(B111-$E$5),(1+$E$23)*D110))</f>
        <v>4084123.5089834468</v>
      </c>
      <c r="E111" s="64">
        <f>IF(ISERROR(A111),NA(),IF(B111=$E$5-1,$E$34,0)+IF(A111&lt;=$E$7,$E$38*D111,0))</f>
        <v>0</v>
      </c>
      <c r="F111" s="65">
        <f>IF(ISERROR(A111),NA(),IF(ISERROR(B111),0,IF(AND(B111&gt;=$E$29,B111&lt;($E$29+$E$32)),$E$30*(1+$E$31)^(B111-$E$29),0)))</f>
        <v>139112.88891599997</v>
      </c>
      <c r="G111" s="65">
        <f>IF(ISERROR(A111),NA(),IF(B111&gt;=$E$5,D111-F111,0))</f>
        <v>3945010.620067447</v>
      </c>
      <c r="H111" s="64">
        <f>IF(ISERROR(A111),NA(),FV(C111/$E$60,$E$60,-(E111)/$E$60,-(I110-G111*$E$61),0)-(I110+E111-G111*$E$61))</f>
        <v>2248656.05343844</v>
      </c>
      <c r="I111" s="64">
        <f>IF(ISERROR(A111),NA(),I110+E111+H111-G111)</f>
        <v>77203857.83471991</v>
      </c>
      <c r="J111" s="2"/>
      <c r="K111" s="11"/>
      <c r="L111" s="2"/>
      <c r="M111" s="2"/>
    </row>
    <row r="112" spans="1:13" ht="12.75">
      <c r="A112" s="62">
        <f t="shared" si="0"/>
        <v>47</v>
      </c>
      <c r="B112" s="62">
        <f t="shared" si="1"/>
        <v>71</v>
      </c>
      <c r="C112" s="63">
        <f>IF(ISERROR(A112),NA(),IF(B112&lt;$E$5,$E$10,$E$11))</f>
        <v>0.03</v>
      </c>
      <c r="D112" s="64">
        <f>IF(ISERROR(A112),NA(),IF(B112&gt;=$E$5,$E$16*(1+$E$12)^(B112-$E$5),(1+$E$23)*D111))</f>
        <v>4206647.214252951</v>
      </c>
      <c r="E112" s="64">
        <f>IF(ISERROR(A112),NA(),IF(B112=$E$5-1,$E$34,0)+IF(A112&lt;=$E$7,$E$38*D112,0))</f>
        <v>0</v>
      </c>
      <c r="F112" s="65">
        <f>IF(ISERROR(A112),NA(),IF(ISERROR(B112),0,IF(AND(B112&gt;=$E$29,B112&lt;($E$29+$E$32)),$E$30*(1+$E$31)^(B112-$E$29),0)))</f>
        <v>143286.27558348</v>
      </c>
      <c r="G112" s="65">
        <f>IF(ISERROR(A112),NA(),IF(B112&gt;=$E$5,D112-F112,0))</f>
        <v>4063360.9386694706</v>
      </c>
      <c r="H112" s="64">
        <f>IF(ISERROR(A112),NA(),FV(C112/$E$60,$E$60,-(E112)/$E$60,-(I111-G112*$E$61),0)-(I111+E112-G112*$E$61))</f>
        <v>2194214.906881511</v>
      </c>
      <c r="I112" s="64">
        <f>IF(ISERROR(A112),NA(),I111+E112+H112-G112)</f>
        <v>75334711.80293195</v>
      </c>
      <c r="J112" s="2"/>
      <c r="K112" s="11"/>
      <c r="L112" s="2"/>
      <c r="M112" s="2"/>
    </row>
    <row r="113" spans="1:13" ht="12.75">
      <c r="A113" s="62">
        <f t="shared" si="0"/>
        <v>48</v>
      </c>
      <c r="B113" s="62">
        <f t="shared" si="1"/>
        <v>72</v>
      </c>
      <c r="C113" s="63">
        <f>IF(ISERROR(A113),NA(),IF(B113&lt;$E$5,$E$10,$E$11))</f>
        <v>0.03</v>
      </c>
      <c r="D113" s="64">
        <f>IF(ISERROR(A113),NA(),IF(B113&gt;=$E$5,$E$16*(1+$E$12)^(B113-$E$5),(1+$E$23)*D112))</f>
        <v>4332846.63068054</v>
      </c>
      <c r="E113" s="64">
        <f>IF(ISERROR(A113),NA(),IF(B113=$E$5-1,$E$34,0)+IF(A113&lt;=$E$7,$E$38*D113,0))</f>
        <v>0</v>
      </c>
      <c r="F113" s="65">
        <f>IF(ISERROR(A113),NA(),IF(ISERROR(B113),0,IF(AND(B113&gt;=$E$29,B113&lt;($E$29+$E$32)),$E$30*(1+$E$31)^(B113-$E$29),0)))</f>
        <v>147584.8638509844</v>
      </c>
      <c r="G113" s="65">
        <f>IF(ISERROR(A113),NA(),IF(B113&gt;=$E$5,D113-F113,0))</f>
        <v>4185261.7668295554</v>
      </c>
      <c r="H113" s="64">
        <f>IF(ISERROR(A113),NA(),FV(C113/$E$60,$E$60,-(E113)/$E$60,-(I112-G113*$E$61),0)-(I112+E113-G113*$E$61))</f>
        <v>2134483.501083076</v>
      </c>
      <c r="I113" s="64">
        <f>IF(ISERROR(A113),NA(),I112+E113+H113-G113)</f>
        <v>73283933.53718548</v>
      </c>
      <c r="J113" s="2"/>
      <c r="K113" s="11"/>
      <c r="L113" s="2"/>
      <c r="M113" s="2"/>
    </row>
    <row r="114" spans="1:13" ht="12.75">
      <c r="A114" s="62">
        <f t="shared" si="0"/>
        <v>49</v>
      </c>
      <c r="B114" s="62">
        <f t="shared" si="1"/>
        <v>73</v>
      </c>
      <c r="C114" s="63">
        <f>IF(ISERROR(A114),NA(),IF(B114&lt;$E$5,$E$10,$E$11))</f>
        <v>0.03</v>
      </c>
      <c r="D114" s="64">
        <f>IF(ISERROR(A114),NA(),IF(B114&gt;=$E$5,$E$16*(1+$E$12)^(B114-$E$5),(1+$E$23)*D113))</f>
        <v>4462832.029600955</v>
      </c>
      <c r="E114" s="64">
        <f>IF(ISERROR(A114),NA(),IF(B114=$E$5-1,$E$34,0)+IF(A114&lt;=$E$7,$E$38*D114,0))</f>
        <v>0</v>
      </c>
      <c r="F114" s="65">
        <f>IF(ISERROR(A114),NA(),IF(ISERROR(B114),0,IF(AND(B114&gt;=$E$29,B114&lt;($E$29+$E$32)),$E$30*(1+$E$31)^(B114-$E$29),0)))</f>
        <v>152012.4097665139</v>
      </c>
      <c r="G114" s="65">
        <f>IF(ISERROR(A114),NA(),IF(B114&gt;=$E$5,D114-F114,0))</f>
        <v>4310819.619834441</v>
      </c>
      <c r="H114" s="64">
        <f>IF(ISERROR(A114),NA(),FV(C114/$E$60,$E$60,-(E114)/$E$60,-(I113-G114*$E$61),0)-(I113+E114-G114*$E$61))</f>
        <v>2069193.417520538</v>
      </c>
      <c r="I114" s="64">
        <f>IF(ISERROR(A114),NA(),I113+E114+H114-G114)</f>
        <v>71042307.33487158</v>
      </c>
      <c r="J114" s="2"/>
      <c r="K114" s="11"/>
      <c r="L114" s="2"/>
      <c r="M114" s="2"/>
    </row>
    <row r="115" spans="1:13" ht="12.75">
      <c r="A115" s="62">
        <f t="shared" si="0"/>
        <v>50</v>
      </c>
      <c r="B115" s="62">
        <f t="shared" si="1"/>
        <v>74</v>
      </c>
      <c r="C115" s="63">
        <f>IF(ISERROR(A115),NA(),IF(B115&lt;$E$5,$E$10,$E$11))</f>
        <v>0.03</v>
      </c>
      <c r="D115" s="64">
        <f>IF(ISERROR(A115),NA(),IF(B115&gt;=$E$5,$E$16*(1+$E$12)^(B115-$E$5),(1+$E$23)*D114))</f>
        <v>4596716.990488984</v>
      </c>
      <c r="E115" s="64">
        <f>IF(ISERROR(A115),NA(),IF(B115=$E$5-1,$E$34,0)+IF(A115&lt;=$E$7,$E$38*D115,0))</f>
        <v>0</v>
      </c>
      <c r="F115" s="65">
        <f>IF(ISERROR(A115),NA(),IF(ISERROR(B115),0,IF(AND(B115&gt;=$E$29,B115&lt;($E$29+$E$32)),$E$30*(1+$E$31)^(B115-$E$29),0)))</f>
        <v>156572.78205950934</v>
      </c>
      <c r="G115" s="65">
        <f>IF(ISERROR(A115),NA(),IF(B115&gt;=$E$5,D115-F115,0))</f>
        <v>4440144.208429474</v>
      </c>
      <c r="H115" s="64">
        <f>IF(ISERROR(A115),NA(),FV(C115/$E$60,$E$60,-(E115)/$E$60,-(I114-G115*$E$61),0)-(I114+E115-G115*$E$61))</f>
        <v>1998064.89379327</v>
      </c>
      <c r="I115" s="64">
        <f>IF(ISERROR(A115),NA(),I114+E115+H115-G115)</f>
        <v>68600228.02023537</v>
      </c>
      <c r="J115" s="2"/>
      <c r="K115" s="11"/>
      <c r="L115" s="2"/>
      <c r="M115" s="2"/>
    </row>
    <row r="116" spans="1:13" ht="12.75">
      <c r="A116" s="62">
        <f t="shared" si="0"/>
        <v>51</v>
      </c>
      <c r="B116" s="62">
        <f t="shared" si="1"/>
        <v>75</v>
      </c>
      <c r="C116" s="63">
        <f>IF(ISERROR(A116),NA(),IF(B116&lt;$E$5,$E$10,$E$11))</f>
        <v>0.03</v>
      </c>
      <c r="D116" s="64">
        <f>IF(ISERROR(A116),NA(),IF(B116&gt;=$E$5,$E$16*(1+$E$12)^(B116-$E$5),(1+$E$23)*D115))</f>
        <v>4734618.500203653</v>
      </c>
      <c r="E116" s="64">
        <f>IF(ISERROR(A116),NA(),IF(B116=$E$5-1,$E$34,0)+IF(A116&lt;=$E$7,$E$38*D116,0))</f>
        <v>0</v>
      </c>
      <c r="F116" s="65">
        <f>IF(ISERROR(A116),NA(),IF(ISERROR(B116),0,IF(AND(B116&gt;=$E$29,B116&lt;($E$29+$E$32)),$E$30*(1+$E$31)^(B116-$E$29),0)))</f>
        <v>161269.96552129462</v>
      </c>
      <c r="G116" s="65">
        <f>IF(ISERROR(A116),NA(),IF(B116&gt;=$E$5,D116-F116,0))</f>
        <v>4573348.534682359</v>
      </c>
      <c r="H116" s="64">
        <f>IF(ISERROR(A116),NA(),FV(C116/$E$60,$E$60,-(E116)/$E$60,-(I115-G116*$E$61),0)-(I115+E116-G116*$E$61))</f>
        <v>1920806.3845665902</v>
      </c>
      <c r="I116" s="64">
        <f>IF(ISERROR(A116),NA(),I115+E116+H116-G116)</f>
        <v>65947685.87011961</v>
      </c>
      <c r="J116" s="2"/>
      <c r="K116" s="11"/>
      <c r="L116" s="2"/>
      <c r="M116" s="2"/>
    </row>
    <row r="117" spans="1:13" ht="12.75">
      <c r="A117" s="62">
        <f t="shared" si="0"/>
        <v>52</v>
      </c>
      <c r="B117" s="62">
        <f t="shared" si="1"/>
        <v>76</v>
      </c>
      <c r="C117" s="63">
        <f>IF(ISERROR(A117),NA(),IF(B117&lt;$E$5,$E$10,$E$11))</f>
        <v>0.03</v>
      </c>
      <c r="D117" s="64">
        <f>IF(ISERROR(A117),NA(),IF(B117&gt;=$E$5,$E$16*(1+$E$12)^(B117-$E$5),(1+$E$23)*D116))</f>
        <v>4876657.055209763</v>
      </c>
      <c r="E117" s="64">
        <f>IF(ISERROR(A117),NA(),IF(B117=$E$5-1,$E$34,0)+IF(A117&lt;=$E$7,$E$38*D117,0))</f>
        <v>0</v>
      </c>
      <c r="F117" s="65">
        <f>IF(ISERROR(A117),NA(),IF(ISERROR(B117),0,IF(AND(B117&gt;=$E$29,B117&lt;($E$29+$E$32)),$E$30*(1+$E$31)^(B117-$E$29),0)))</f>
        <v>166108.06448693346</v>
      </c>
      <c r="G117" s="65">
        <f>IF(ISERROR(A117),NA(),IF(B117&gt;=$E$5,D117-F117,0))</f>
        <v>4710548.9907228295</v>
      </c>
      <c r="H117" s="64">
        <f>IF(ISERROR(A117),NA(),FV(C117/$E$60,$E$60,-(E117)/$E$60,-(I116-G117*$E$61),0)-(I116+E117-G117*$E$61))</f>
        <v>1837114.106381908</v>
      </c>
      <c r="I117" s="64">
        <f>IF(ISERROR(A117),NA(),I116+E117+H117-G117)</f>
        <v>63074250.9857787</v>
      </c>
      <c r="J117" s="2"/>
      <c r="K117" s="11"/>
      <c r="L117" s="2"/>
      <c r="M117" s="2"/>
    </row>
    <row r="118" spans="1:13" ht="12.75">
      <c r="A118" s="62">
        <f t="shared" si="0"/>
        <v>53</v>
      </c>
      <c r="B118" s="62">
        <f t="shared" si="1"/>
        <v>77</v>
      </c>
      <c r="C118" s="63">
        <f>IF(ISERROR(A118),NA(),IF(B118&lt;$E$5,$E$10,$E$11))</f>
        <v>0.03</v>
      </c>
      <c r="D118" s="64">
        <f>IF(ISERROR(A118),NA(),IF(B118&gt;=$E$5,$E$16*(1+$E$12)^(B118-$E$5),(1+$E$23)*D117))</f>
        <v>5022956.766866055</v>
      </c>
      <c r="E118" s="64">
        <f>IF(ISERROR(A118),NA(),IF(B118=$E$5-1,$E$34,0)+IF(A118&lt;=$E$7,$E$38*D118,0))</f>
        <v>0</v>
      </c>
      <c r="F118" s="65">
        <f>IF(ISERROR(A118),NA(),IF(ISERROR(B118),0,IF(AND(B118&gt;=$E$29,B118&lt;($E$29+$E$32)),$E$30*(1+$E$31)^(B118-$E$29),0)))</f>
        <v>171091.30642154143</v>
      </c>
      <c r="G118" s="65">
        <f>IF(ISERROR(A118),NA(),IF(B118&gt;=$E$5,D118-F118,0))</f>
        <v>4851865.460444514</v>
      </c>
      <c r="H118" s="64">
        <f>IF(ISERROR(A118),NA(),FV(C118/$E$60,$E$60,-(E118)/$E$60,-(I117-G118*$E$61),0)-(I117+E118-G118*$E$61))</f>
        <v>1746671.565760024</v>
      </c>
      <c r="I118" s="64">
        <f>IF(ISERROR(A118),NA(),I117+E118+H118-G118)</f>
        <v>59969057.09109421</v>
      </c>
      <c r="J118" s="2"/>
      <c r="K118" s="11"/>
      <c r="L118" s="2"/>
      <c r="M118" s="2"/>
    </row>
    <row r="119" spans="1:13" ht="12.75">
      <c r="A119" s="62">
        <f t="shared" si="0"/>
        <v>54</v>
      </c>
      <c r="B119" s="62">
        <f t="shared" si="1"/>
        <v>78</v>
      </c>
      <c r="C119" s="63">
        <f>IF(ISERROR(A119),NA(),IF(B119&lt;$E$5,$E$10,$E$11))</f>
        <v>0.03</v>
      </c>
      <c r="D119" s="64">
        <f>IF(ISERROR(A119),NA(),IF(B119&gt;=$E$5,$E$16*(1+$E$12)^(B119-$E$5),(1+$E$23)*D118))</f>
        <v>5173645.469872037</v>
      </c>
      <c r="E119" s="64">
        <f>IF(ISERROR(A119),NA(),IF(B119=$E$5-1,$E$34,0)+IF(A119&lt;=$E$7,$E$38*D119,0))</f>
        <v>0</v>
      </c>
      <c r="F119" s="65">
        <f>IF(ISERROR(A119),NA(),IF(ISERROR(B119),0,IF(AND(B119&gt;=$E$29,B119&lt;($E$29+$E$32)),$E$30*(1+$E$31)^(B119-$E$29),0)))</f>
        <v>176224.04561418766</v>
      </c>
      <c r="G119" s="65">
        <f>IF(ISERROR(A119),NA(),IF(B119&gt;=$E$5,D119-F119,0))</f>
        <v>4997421.424257849</v>
      </c>
      <c r="H119" s="64">
        <f>IF(ISERROR(A119),NA(),FV(C119/$E$60,$E$60,-(E119)/$E$60,-(I118-G119*$E$61),0)-(I118+E119-G119*$E$61))</f>
        <v>1649149.070005089</v>
      </c>
      <c r="I119" s="64">
        <f>IF(ISERROR(A119),NA(),I118+E119+H119-G119)</f>
        <v>56620784.73684145</v>
      </c>
      <c r="J119" s="2"/>
      <c r="K119" s="11"/>
      <c r="L119" s="2"/>
      <c r="M119" s="2"/>
    </row>
    <row r="120" spans="1:13" ht="12.75">
      <c r="A120" s="62">
        <f aca="true" t="shared" si="2" ref="A120:A130">IF(A119&lt;($E$5-$E$4)+$E$6,A119+1,NA())</f>
        <v>55</v>
      </c>
      <c r="B120" s="62">
        <f aca="true" t="shared" si="3" ref="B120:B130">IF(ISERROR(A120),NA(),$E$4+A120-1)</f>
        <v>79</v>
      </c>
      <c r="C120" s="63">
        <f>IF(ISERROR(A120),NA(),IF(B120&lt;$E$5,$E$10,$E$11))</f>
        <v>0.03</v>
      </c>
      <c r="D120" s="64">
        <f>IF(ISERROR(A120),NA(),IF(B120&gt;=$E$5,$E$16*(1+$E$12)^(B120-$E$5),(1+$E$23)*D119))</f>
        <v>5328854.833968198</v>
      </c>
      <c r="E120" s="64">
        <f>IF(ISERROR(A120),NA(),IF(B120=$E$5-1,$E$34,0)+IF(A120&lt;=$E$7,$E$38*D120,0))</f>
        <v>0</v>
      </c>
      <c r="F120" s="65">
        <f>IF(ISERROR(A120),NA(),IF(ISERROR(B120),0,IF(AND(B120&gt;=$E$29,B120&lt;($E$29+$E$32)),$E$30*(1+$E$31)^(B120-$E$29),0)))</f>
        <v>181510.76698261334</v>
      </c>
      <c r="G120" s="65">
        <f>IF(ISERROR(A120),NA(),IF(B120&gt;=$E$5,D120-F120,0))</f>
        <v>5147344.066985585</v>
      </c>
      <c r="H120" s="64">
        <f>IF(ISERROR(A120),NA(),FV(C120/$E$60,$E$60,-(E120)/$E$60,-(I119-G120*$E$61),0)-(I119+E120-G120*$E$61))</f>
        <v>1544203.2200956792</v>
      </c>
      <c r="I120" s="64">
        <f>IF(ISERROR(A120),NA(),I119+E120+H120-G120)</f>
        <v>53017643.88995154</v>
      </c>
      <c r="J120" s="2"/>
      <c r="K120" s="11"/>
      <c r="L120" s="2"/>
      <c r="M120" s="2"/>
    </row>
    <row r="121" spans="1:13" ht="12.75">
      <c r="A121" s="62">
        <f t="shared" si="2"/>
        <v>56</v>
      </c>
      <c r="B121" s="62">
        <f t="shared" si="3"/>
        <v>80</v>
      </c>
      <c r="C121" s="63">
        <f>IF(ISERROR(A121),NA(),IF(B121&lt;$E$5,$E$10,$E$11))</f>
        <v>0.03</v>
      </c>
      <c r="D121" s="64">
        <f>IF(ISERROR(A121),NA(),IF(B121&gt;=$E$5,$E$16*(1+$E$12)^(B121-$E$5),(1+$E$23)*D120))</f>
        <v>5488720.478987245</v>
      </c>
      <c r="E121" s="64">
        <f>IF(ISERROR(A121),NA(),IF(B121=$E$5-1,$E$34,0)+IF(A121&lt;=$E$7,$E$38*D121,0))</f>
        <v>0</v>
      </c>
      <c r="F121" s="65">
        <f>IF(ISERROR(A121),NA(),IF(ISERROR(B121),0,IF(AND(B121&gt;=$E$29,B121&lt;($E$29+$E$32)),$E$30*(1+$E$31)^(B121-$E$29),0)))</f>
        <v>186956.08999209173</v>
      </c>
      <c r="G121" s="65">
        <f>IF(ISERROR(A121),NA(),IF(B121&gt;=$E$5,D121-F121,0))</f>
        <v>5301764.388995153</v>
      </c>
      <c r="H121" s="64">
        <f>IF(ISERROR(A121),NA(),FV(C121/$E$60,$E$60,-(E121)/$E$60,-(I120-G121*$E$61),0)-(I120+E121-G121*$E$61))</f>
        <v>1431476.38502869</v>
      </c>
      <c r="I121" s="64">
        <f>IF(ISERROR(A121),NA(),I120+E121+H121-G121)</f>
        <v>49147355.88598508</v>
      </c>
      <c r="J121" s="2"/>
      <c r="K121" s="11"/>
      <c r="L121" s="2"/>
      <c r="M121" s="2"/>
    </row>
    <row r="122" spans="1:13" ht="12.75">
      <c r="A122" s="62">
        <f t="shared" si="2"/>
        <v>57</v>
      </c>
      <c r="B122" s="62">
        <f t="shared" si="3"/>
        <v>81</v>
      </c>
      <c r="C122" s="63">
        <f>IF(ISERROR(A122),NA(),IF(B122&lt;$E$5,$E$10,$E$11))</f>
        <v>0.03</v>
      </c>
      <c r="D122" s="64">
        <f>IF(ISERROR(A122),NA(),IF(B122&gt;=$E$5,$E$16*(1+$E$12)^(B122-$E$5),(1+$E$23)*D121))</f>
        <v>5653382.093356861</v>
      </c>
      <c r="E122" s="64">
        <f>IF(ISERROR(A122),NA(),IF(B122=$E$5-1,$E$34,0)+IF(A122&lt;=$E$7,$E$38*D122,0))</f>
        <v>0</v>
      </c>
      <c r="F122" s="65">
        <f>IF(ISERROR(A122),NA(),IF(ISERROR(B122),0,IF(AND(B122&gt;=$E$29,B122&lt;($E$29+$E$32)),$E$30*(1+$E$31)^(B122-$E$29),0)))</f>
        <v>192564.77269185445</v>
      </c>
      <c r="G122" s="65">
        <f>IF(ISERROR(A122),NA(),IF(B122&gt;=$E$5,D122-F122,0))</f>
        <v>5460817.3206650065</v>
      </c>
      <c r="H122" s="64">
        <f>IF(ISERROR(A122),NA(),FV(C122/$E$60,$E$60,-(E122)/$E$60,-(I121-G122*$E$61),0)-(I121+E122-G122*$E$61))</f>
        <v>1310596.1569596007</v>
      </c>
      <c r="I122" s="64">
        <f>IF(ISERROR(A122),NA(),I121+E122+H122-G122)</f>
        <v>44997134.72227967</v>
      </c>
      <c r="J122" s="2"/>
      <c r="K122" s="11"/>
      <c r="L122" s="2"/>
      <c r="M122" s="2"/>
    </row>
    <row r="123" spans="1:13" ht="12.75">
      <c r="A123" s="62">
        <f t="shared" si="2"/>
        <v>58</v>
      </c>
      <c r="B123" s="62">
        <f t="shared" si="3"/>
        <v>82</v>
      </c>
      <c r="C123" s="63">
        <f>IF(ISERROR(A123),NA(),IF(B123&lt;$E$5,$E$10,$E$11))</f>
        <v>0.03</v>
      </c>
      <c r="D123" s="64">
        <f>IF(ISERROR(A123),NA(),IF(B123&gt;=$E$5,$E$16*(1+$E$12)^(B123-$E$5),(1+$E$23)*D122))</f>
        <v>5822983.556157567</v>
      </c>
      <c r="E123" s="64">
        <f>IF(ISERROR(A123),NA(),IF(B123=$E$5-1,$E$34,0)+IF(A123&lt;=$E$7,$E$38*D123,0))</f>
        <v>0</v>
      </c>
      <c r="F123" s="65">
        <f>IF(ISERROR(A123),NA(),IF(ISERROR(B123),0,IF(AND(B123&gt;=$E$29,B123&lt;($E$29+$E$32)),$E$30*(1+$E$31)^(B123-$E$29),0)))</f>
        <v>198341.71587261008</v>
      </c>
      <c r="G123" s="65">
        <f>IF(ISERROR(A123),NA(),IF(B123&gt;=$E$5,D123-F123,0))</f>
        <v>5624641.840284957</v>
      </c>
      <c r="H123" s="64">
        <f>IF(ISERROR(A123),NA(),FV(C123/$E$60,$E$60,-(E123)/$E$60,-(I122-G123*$E$61),0)-(I122+E123-G123*$E$61))</f>
        <v>1181174.7864598408</v>
      </c>
      <c r="I123" s="64">
        <f>IF(ISERROR(A123),NA(),I122+E123+H123-G123)</f>
        <v>40553667.66845455</v>
      </c>
      <c r="J123" s="2"/>
      <c r="K123" s="11"/>
      <c r="L123" s="2"/>
      <c r="M123" s="2"/>
    </row>
    <row r="124" spans="1:13" ht="12.75">
      <c r="A124" s="62">
        <f t="shared" si="2"/>
        <v>59</v>
      </c>
      <c r="B124" s="62">
        <f t="shared" si="3"/>
        <v>83</v>
      </c>
      <c r="C124" s="63">
        <f>IF(ISERROR(A124),NA(),IF(B124&lt;$E$5,$E$10,$E$11))</f>
        <v>0.03</v>
      </c>
      <c r="D124" s="64">
        <f>IF(ISERROR(A124),NA(),IF(B124&gt;=$E$5,$E$16*(1+$E$12)^(B124-$E$5),(1+$E$23)*D123))</f>
        <v>5997673.062842294</v>
      </c>
      <c r="E124" s="64">
        <f>IF(ISERROR(A124),NA(),IF(B124=$E$5-1,$E$34,0)+IF(A124&lt;=$E$7,$E$38*D124,0))</f>
        <v>0</v>
      </c>
      <c r="F124" s="65">
        <f>IF(ISERROR(A124),NA(),IF(ISERROR(B124),0,IF(AND(B124&gt;=$E$29,B124&lt;($E$29+$E$32)),$E$30*(1+$E$31)^(B124-$E$29),0)))</f>
        <v>204291.9673487884</v>
      </c>
      <c r="G124" s="65">
        <f>IF(ISERROR(A124),NA(),IF(B124&gt;=$E$5,D124-F124,0))</f>
        <v>5793381.095493505</v>
      </c>
      <c r="H124" s="64">
        <f>IF(ISERROR(A124),NA(),FV(C124/$E$60,$E$60,-(E124)/$E$60,-(I123-G124*$E$61),0)-(I123+E124-G124*$E$61))</f>
        <v>1042808.5971888304</v>
      </c>
      <c r="I124" s="64">
        <f>IF(ISERROR(A124),NA(),I123+E124+H124-G124)</f>
        <v>35803095.17014988</v>
      </c>
      <c r="J124" s="2"/>
      <c r="K124" s="11"/>
      <c r="L124" s="2"/>
      <c r="M124" s="2"/>
    </row>
    <row r="125" spans="1:13" ht="12.75">
      <c r="A125" s="62">
        <f t="shared" si="2"/>
        <v>60</v>
      </c>
      <c r="B125" s="62">
        <f t="shared" si="3"/>
        <v>84</v>
      </c>
      <c r="C125" s="63">
        <f>IF(ISERROR(A125),NA(),IF(B125&lt;$E$5,$E$10,$E$11))</f>
        <v>0.03</v>
      </c>
      <c r="D125" s="64">
        <f>IF(ISERROR(A125),NA(),IF(B125&gt;=$E$5,$E$16*(1+$E$12)^(B125-$E$5),(1+$E$23)*D124))</f>
        <v>6177603.254727562</v>
      </c>
      <c r="E125" s="64">
        <f>IF(ISERROR(A125),NA(),IF(B125=$E$5-1,$E$34,0)+IF(A125&lt;=$E$7,$E$38*D125,0))</f>
        <v>0</v>
      </c>
      <c r="F125" s="65">
        <f>IF(ISERROR(A125),NA(),IF(ISERROR(B125),0,IF(AND(B125&gt;=$E$29,B125&lt;($E$29+$E$32)),$E$30*(1+$E$31)^(B125-$E$29),0)))</f>
        <v>210420.72636925202</v>
      </c>
      <c r="G125" s="65">
        <f>IF(ISERROR(A125),NA(),IF(B125&gt;=$E$5,D125-F125,0))</f>
        <v>5967182.5283583095</v>
      </c>
      <c r="H125" s="64">
        <f>IF(ISERROR(A125),NA(),FV(C125/$E$60,$E$60,-(E125)/$E$60,-(I124-G125*$E$61),0)-(I124+E125-G125*$E$61))</f>
        <v>895077.3792537488</v>
      </c>
      <c r="I125" s="64">
        <f>IF(ISERROR(A125),NA(),I124+E125+H125-G125)</f>
        <v>30730990.021045312</v>
      </c>
      <c r="J125" s="2"/>
      <c r="K125" s="11"/>
      <c r="L125" s="2"/>
      <c r="M125" s="2"/>
    </row>
    <row r="126" spans="1:13" ht="12.75">
      <c r="A126" s="62">
        <f t="shared" si="2"/>
        <v>61</v>
      </c>
      <c r="B126" s="62">
        <f t="shared" si="3"/>
        <v>85</v>
      </c>
      <c r="C126" s="63">
        <f>IF(ISERROR(A126),NA(),IF(B126&lt;$E$5,$E$10,$E$11))</f>
        <v>0.03</v>
      </c>
      <c r="D126" s="64">
        <f>IF(ISERROR(A126),NA(),IF(B126&gt;=$E$5,$E$16*(1+$E$12)^(B126-$E$5),(1+$E$23)*D125))</f>
        <v>6362931.3523693895</v>
      </c>
      <c r="E126" s="64">
        <f>IF(ISERROR(A126),NA(),IF(B126=$E$5-1,$E$34,0)+IF(A126&lt;=$E$7,$E$38*D126,0))</f>
        <v>0</v>
      </c>
      <c r="F126" s="65">
        <f>IF(ISERROR(A126),NA(),IF(ISERROR(B126),0,IF(AND(B126&gt;=$E$29,B126&lt;($E$29+$E$32)),$E$30*(1+$E$31)^(B126-$E$29),0)))</f>
        <v>216733.3481603296</v>
      </c>
      <c r="G126" s="65">
        <f>IF(ISERROR(A126),NA(),IF(B126&gt;=$E$5,D126-F126,0))</f>
        <v>6146198.00420906</v>
      </c>
      <c r="H126" s="64">
        <f>IF(ISERROR(A126),NA(),FV(C126/$E$60,$E$60,-(E126)/$E$60,-(I125-G126*$E$61),0)-(I125+E126-G126*$E$61))</f>
        <v>737543.7605050877</v>
      </c>
      <c r="I126" s="64">
        <f>IF(ISERROR(A126),NA(),I125+E126+H126-G126)</f>
        <v>25322335.77734134</v>
      </c>
      <c r="J126" s="2"/>
      <c r="K126" s="11"/>
      <c r="L126" s="2"/>
      <c r="M126" s="2"/>
    </row>
    <row r="127" spans="1:13" ht="12.75">
      <c r="A127" s="62">
        <f t="shared" si="2"/>
        <v>62</v>
      </c>
      <c r="B127" s="62">
        <f t="shared" si="3"/>
        <v>86</v>
      </c>
      <c r="C127" s="63">
        <f>IF(ISERROR(A127),NA(),IF(B127&lt;$E$5,$E$10,$E$11))</f>
        <v>0.03</v>
      </c>
      <c r="D127" s="64">
        <f>IF(ISERROR(A127),NA(),IF(B127&gt;=$E$5,$E$16*(1+$E$12)^(B127-$E$5),(1+$E$23)*D126))</f>
        <v>6553819.29294047</v>
      </c>
      <c r="E127" s="64">
        <f>IF(ISERROR(A127),NA(),IF(B127=$E$5-1,$E$34,0)+IF(A127&lt;=$E$7,$E$38*D127,0))</f>
        <v>0</v>
      </c>
      <c r="F127" s="65">
        <f>IF(ISERROR(A127),NA(),IF(ISERROR(B127),0,IF(AND(B127&gt;=$E$29,B127&lt;($E$29+$E$32)),$E$30*(1+$E$31)^(B127-$E$29),0)))</f>
        <v>223235.34860513944</v>
      </c>
      <c r="G127" s="65">
        <f>IF(ISERROR(A127),NA(),IF(B127&gt;=$E$5,D127-F127,0))</f>
        <v>6330583.944335331</v>
      </c>
      <c r="H127" s="64">
        <f>IF(ISERROR(A127),NA(),FV(C127/$E$60,$E$60,-(E127)/$E$60,-(I126-G127*$E$61),0)-(I126+E127-G127*$E$61))</f>
        <v>569752.5549901798</v>
      </c>
      <c r="I127" s="64">
        <f>IF(ISERROR(A127),NA(),I126+E127+H127-G127)</f>
        <v>19561504.38799619</v>
      </c>
      <c r="J127" s="2"/>
      <c r="K127" s="11"/>
      <c r="L127" s="2"/>
      <c r="M127" s="2"/>
    </row>
    <row r="128" spans="1:13" ht="12.75">
      <c r="A128" s="62">
        <f t="shared" si="2"/>
        <v>63</v>
      </c>
      <c r="B128" s="62">
        <f t="shared" si="3"/>
        <v>87</v>
      </c>
      <c r="C128" s="63">
        <f>IF(ISERROR(A128),NA(),IF(B128&lt;$E$5,$E$10,$E$11))</f>
        <v>0.03</v>
      </c>
      <c r="D128" s="64">
        <f>IF(ISERROR(A128),NA(),IF(B128&gt;=$E$5,$E$16*(1+$E$12)^(B128-$E$5),(1+$E$23)*D127))</f>
        <v>6750433.871728685</v>
      </c>
      <c r="E128" s="64">
        <f>IF(ISERROR(A128),NA(),IF(B128=$E$5-1,$E$34,0)+IF(A128&lt;=$E$7,$E$38*D128,0))</f>
        <v>0</v>
      </c>
      <c r="F128" s="65">
        <f>IF(ISERROR(A128),NA(),IF(ISERROR(B128),0,IF(AND(B128&gt;=$E$29,B128&lt;($E$29+$E$32)),$E$30*(1+$E$31)^(B128-$E$29),0)))</f>
        <v>229932.40906329366</v>
      </c>
      <c r="G128" s="65">
        <f>IF(ISERROR(A128),NA(),IF(B128&gt;=$E$5,D128-F128,0))</f>
        <v>6520501.462665391</v>
      </c>
      <c r="H128" s="64">
        <f>IF(ISERROR(A128),NA(),FV(C128/$E$60,$E$60,-(E128)/$E$60,-(I127-G128*$E$61),0)-(I127+E128-G128*$E$61))</f>
        <v>391230.08775992505</v>
      </c>
      <c r="I128" s="64">
        <f>IF(ISERROR(A128),NA(),I127+E128+H128-G128)</f>
        <v>13432233.013090726</v>
      </c>
      <c r="J128" s="2"/>
      <c r="K128" s="11"/>
      <c r="L128" s="2"/>
      <c r="M128" s="2"/>
    </row>
    <row r="129" spans="1:13" ht="12.75">
      <c r="A129" s="62">
        <f t="shared" si="2"/>
        <v>64</v>
      </c>
      <c r="B129" s="62">
        <f t="shared" si="3"/>
        <v>88</v>
      </c>
      <c r="C129" s="63">
        <f>IF(ISERROR(A129),NA(),IF(B129&lt;$E$5,$E$10,$E$11))</f>
        <v>0.03</v>
      </c>
      <c r="D129" s="64">
        <f>IF(ISERROR(A129),NA(),IF(B129&gt;=$E$5,$E$16*(1+$E$12)^(B129-$E$5),(1+$E$23)*D128))</f>
        <v>6952946.887880546</v>
      </c>
      <c r="E129" s="64">
        <f>IF(ISERROR(A129),NA(),IF(B129=$E$5-1,$E$34,0)+IF(A129&lt;=$E$7,$E$38*D129,0))</f>
        <v>0</v>
      </c>
      <c r="F129" s="65">
        <f>IF(ISERROR(A129),NA(),IF(ISERROR(B129),0,IF(AND(B129&gt;=$E$29,B129&lt;($E$29+$E$32)),$E$30*(1+$E$31)^(B129-$E$29),0)))</f>
        <v>236830.38133519248</v>
      </c>
      <c r="G129" s="65">
        <f>IF(ISERROR(A129),NA(),IF(B129&gt;=$E$5,D129-F129,0))</f>
        <v>6716116.506545354</v>
      </c>
      <c r="H129" s="64">
        <f>IF(ISERROR(A129),NA(),FV(C129/$E$60,$E$60,-(E129)/$E$60,-(I128-G129*$E$61),0)-(I128+E129-G129*$E$61))</f>
        <v>201483.4951963611</v>
      </c>
      <c r="I129" s="64">
        <f>IF(ISERROR(A129),NA(),I128+E129+H129-G129)</f>
        <v>6917600.001741733</v>
      </c>
      <c r="J129" s="2"/>
      <c r="K129" s="11"/>
      <c r="L129" s="2"/>
      <c r="M129" s="2"/>
    </row>
    <row r="130" spans="1:13" ht="12.75">
      <c r="A130" s="62">
        <f t="shared" si="2"/>
        <v>65</v>
      </c>
      <c r="B130" s="62">
        <f t="shared" si="3"/>
        <v>89</v>
      </c>
      <c r="C130" s="63">
        <f>IF(ISERROR(A130),NA(),IF(B130&lt;$E$5,$E$10,$E$11))</f>
        <v>0.03</v>
      </c>
      <c r="D130" s="64">
        <f>IF(ISERROR(A130),NA(),IF(B130&gt;=$E$5,$E$16*(1+$E$12)^(B130-$E$5),(1+$E$23)*D129))</f>
        <v>7161535.294516961</v>
      </c>
      <c r="E130" s="64">
        <f>IF(ISERROR(A130),NA(),IF(B130=$E$5-1,$E$34,0)+IF(A130&lt;=$E$7,$E$38*D130,0))</f>
        <v>0</v>
      </c>
      <c r="F130" s="65">
        <f>IF(ISERROR(A130),NA(),IF(ISERROR(B130),0,IF(AND(B130&gt;=$E$29,B130&lt;($E$29+$E$32)),$E$30*(1+$E$31)^(B130-$E$29),0)))</f>
        <v>243935.2927752482</v>
      </c>
      <c r="G130" s="65">
        <f>IF(ISERROR(A130),NA(),IF(B130&gt;=$E$5,D130-F130,0))</f>
        <v>6917600.001741713</v>
      </c>
      <c r="H130" s="64">
        <f>IF(ISERROR(A130),NA(),FV(C130/$E$60,$E$60,-(E130)/$E$60,-(I129-G130*$E$61),0)-(I129+E130-G130*$E$61))</f>
        <v>6.14672899246216E-10</v>
      </c>
      <c r="I130" s="64">
        <f>IF(ISERROR(A130),NA(),I129+E130+H130-G130)</f>
        <v>2.1420419216156006E-08</v>
      </c>
      <c r="J130" s="2"/>
      <c r="K130" s="11"/>
      <c r="L130" s="2"/>
      <c r="M130" s="2"/>
    </row>
    <row r="131" spans="1:13" ht="12.75">
      <c r="A131" s="2"/>
      <c r="B131" s="2"/>
      <c r="C131" s="50"/>
      <c r="D131" s="27"/>
      <c r="E131" s="27"/>
      <c r="F131" s="2"/>
      <c r="G131" s="5"/>
      <c r="H131" s="27"/>
      <c r="I131" s="27"/>
      <c r="J131" s="2"/>
      <c r="K131" s="2"/>
      <c r="L131" s="2"/>
      <c r="M131" s="2"/>
    </row>
    <row r="132" spans="1:13" ht="12.75">
      <c r="A132" s="2"/>
      <c r="B132" s="2"/>
      <c r="C132" s="50"/>
      <c r="D132" s="27"/>
      <c r="E132" s="27"/>
      <c r="F132" s="2"/>
      <c r="G132" s="5"/>
      <c r="H132" s="27"/>
      <c r="I132" s="27"/>
      <c r="J132" s="2"/>
      <c r="K132" s="2"/>
      <c r="L132" s="2"/>
      <c r="M132" s="2"/>
    </row>
    <row r="133" spans="1:13" ht="12.75">
      <c r="A133" s="10" t="str">
        <f>TEXT(E24,"0%")&amp;" Сценарий инвестирования текущего дохода (заработной платы)"</f>
        <v>10% Сценарий инвестирования текущего дохода (заработной платы)</v>
      </c>
      <c r="B133" s="2"/>
      <c r="C133" s="50"/>
      <c r="D133" s="27"/>
      <c r="E133" s="27"/>
      <c r="F133" s="2"/>
      <c r="G133" s="2"/>
      <c r="H133" s="31"/>
      <c r="I133" s="29"/>
      <c r="J133" s="2"/>
      <c r="K133" s="2"/>
      <c r="L133" s="2"/>
      <c r="M133" s="2"/>
    </row>
    <row r="134" spans="1:13" ht="43.5" customHeight="1" thickBot="1">
      <c r="A134" s="18" t="s">
        <v>34</v>
      </c>
      <c r="B134" s="18" t="s">
        <v>35</v>
      </c>
      <c r="C134" s="55" t="s">
        <v>36</v>
      </c>
      <c r="D134" s="56" t="s">
        <v>37</v>
      </c>
      <c r="E134" s="56" t="s">
        <v>38</v>
      </c>
      <c r="F134" s="18" t="s">
        <v>39</v>
      </c>
      <c r="G134" s="19" t="s">
        <v>42</v>
      </c>
      <c r="H134" s="56" t="s">
        <v>43</v>
      </c>
      <c r="I134" s="56" t="s">
        <v>44</v>
      </c>
      <c r="J134" s="2"/>
      <c r="K134" s="2"/>
      <c r="L134" s="2"/>
      <c r="M134" s="2"/>
    </row>
    <row r="135" spans="1:13" ht="12.75">
      <c r="A135" s="57"/>
      <c r="B135" s="57"/>
      <c r="C135" s="58"/>
      <c r="D135" s="59"/>
      <c r="E135" s="59"/>
      <c r="F135" s="60"/>
      <c r="G135" s="57"/>
      <c r="H135" s="59"/>
      <c r="I135" s="61">
        <f>Пенсия!$E$20</f>
        <v>1000000</v>
      </c>
      <c r="J135" s="2"/>
      <c r="K135" s="2"/>
      <c r="L135" s="2"/>
      <c r="M135" s="2"/>
    </row>
    <row r="136" spans="1:13" ht="12.75">
      <c r="A136" s="62">
        <f>IF(OR(I135&lt;0,A135&gt;=(Пенсия!$E$5-Пенсия!$E$4)+Пенсия!$E$6),NA(),A135+1)</f>
        <v>1</v>
      </c>
      <c r="B136" s="62">
        <f>IF(ISERROR(A136),NA(),Пенсия!$E$4+A136-1)</f>
        <v>25</v>
      </c>
      <c r="C136" s="63">
        <f>IF(ISERROR(A136),NA(),IF(B136&lt;Пенсия!$E$5,Пенсия!$E$10,Пенсия!$E$11))</f>
        <v>0.06</v>
      </c>
      <c r="D136" s="64">
        <f>Пенсия!E22</f>
        <v>1800000</v>
      </c>
      <c r="E136" s="64">
        <f>IF(ISERROR(A136),NA(),IF(B136=Пенсия!$E$5-1,Пенсия!$E$34)+IF(A136&lt;=Пенсия!$E$7,Пенсия!$E$24*D136,0))</f>
        <v>180000</v>
      </c>
      <c r="F136" s="65">
        <f>IF(ISERROR(A136),NA(),IF(ISERROR(B136),0,IF(AND(B136&gt;=$E$29,B136&lt;($E$29+$E$32)),$E$30*(1+Пенсия!$E$31)^(B136-$E$29),0)))</f>
        <v>0</v>
      </c>
      <c r="G136" s="65">
        <f>IF(ISERROR(A136),NA(),IF(B136&gt;=Пенсия!$E$5,D136-F136,0))</f>
        <v>0</v>
      </c>
      <c r="H136" s="64">
        <f>IF(ISERROR(A136),NA(),FV(C136/Пенсия!$E$60,Пенсия!$E$60,-(E136)/Пенсия!$E$60,-(I135-G136*Пенсия!$E$61),0)-(I135+E136-G136*Пенсия!$E$61))</f>
        <v>60000.00000000023</v>
      </c>
      <c r="I136" s="64">
        <f>IF(ISERROR(A136),NA(),I135+E136+H136-G136)</f>
        <v>1240000.0000000002</v>
      </c>
      <c r="J136" s="2"/>
      <c r="K136" s="2"/>
      <c r="L136" s="2"/>
      <c r="M136" s="2"/>
    </row>
    <row r="137" spans="1:13" ht="12.75">
      <c r="A137" s="62">
        <f>IF(OR(I136&lt;0,A136&gt;=(Пенсия!$E$5-Пенсия!$E$4)+Пенсия!$E$6),NA(),A136+1)</f>
        <v>2</v>
      </c>
      <c r="B137" s="62">
        <f>IF(ISERROR(A137),NA(),Пенсия!$E$4+A137-1)</f>
        <v>26</v>
      </c>
      <c r="C137" s="63">
        <f>IF(ISERROR(A137),NA(),IF(B137&lt;Пенсия!$E$5,Пенсия!$E$10,Пенсия!$E$11))</f>
        <v>0.06</v>
      </c>
      <c r="D137" s="64">
        <f>IF(ISERROR(A137),NA(),IF(B137&gt;=Пенсия!$E$5,Пенсия!$E$16*(1+Пенсия!$E$12)^(B137-Пенсия!$E$5),(1+Пенсия!$E$23)*D136))</f>
        <v>1836000</v>
      </c>
      <c r="E137" s="64">
        <f>IF(ISERROR(A137),NA(),IF(B137=Пенсия!$E$5-1,Пенсия!$E$34)+IF(A137&lt;=Пенсия!$E$7,Пенсия!$E$24*D137,0))</f>
        <v>183600</v>
      </c>
      <c r="F137" s="65">
        <f>IF(ISERROR(A137),NA(),IF(ISERROR(B137),0,IF(AND(B137&gt;=$E$29,B137&lt;($E$29+$E$32)),$E$30*(1+Пенсия!$E$31)^(B137-$E$29),0)))</f>
        <v>0</v>
      </c>
      <c r="G137" s="65">
        <f>IF(ISERROR(A137),NA(),IF(B137&gt;=Пенсия!$E$5,D137-F137,0))</f>
        <v>0</v>
      </c>
      <c r="H137" s="64">
        <f>IF(ISERROR(A137),NA(),FV(C137/Пенсия!$E$60,Пенсия!$E$60,-(E137)/Пенсия!$E$60,-(I136-G137*Пенсия!$E$61),0)-(I136+E137-G137*Пенсия!$E$61))</f>
        <v>74400.00000000023</v>
      </c>
      <c r="I137" s="64">
        <f>IF(ISERROR(A137),NA(),I136+E137+H137-G137)</f>
        <v>1498000.0000000005</v>
      </c>
      <c r="J137" s="2"/>
      <c r="K137" s="2"/>
      <c r="L137" s="2"/>
      <c r="M137" s="2"/>
    </row>
    <row r="138" spans="1:13" ht="12.75">
      <c r="A138" s="62">
        <f>IF(OR(I137&lt;0,A137&gt;=(Пенсия!$E$5-Пенсия!$E$4)+Пенсия!$E$6),NA(),A137+1)</f>
        <v>3</v>
      </c>
      <c r="B138" s="62">
        <f>IF(ISERROR(A138),NA(),Пенсия!$E$4+A138-1)</f>
        <v>27</v>
      </c>
      <c r="C138" s="63">
        <f>IF(ISERROR(A138),NA(),IF(B138&lt;Пенсия!$E$5,Пенсия!$E$10,Пенсия!$E$11))</f>
        <v>0.06</v>
      </c>
      <c r="D138" s="64">
        <f>IF(ISERROR(A138),NA(),IF(B138&gt;=Пенсия!$E$5,Пенсия!$E$16*(1+Пенсия!$E$12)^(B138-Пенсия!$E$5),(1+Пенсия!$E$23)*D137))</f>
        <v>1872720</v>
      </c>
      <c r="E138" s="64">
        <f>IF(ISERROR(A138),NA(),IF(B138=Пенсия!$E$5-1,Пенсия!$E$34)+IF(A138&lt;=Пенсия!$E$7,Пенсия!$E$24*D138,0))</f>
        <v>187272</v>
      </c>
      <c r="F138" s="65">
        <f>IF(ISERROR(A138),NA(),IF(ISERROR(B138),0,IF(AND(B138&gt;=$E$29,B138&lt;($E$29+$E$32)),$E$30*(1+Пенсия!$E$31)^(B138-$E$29),0)))</f>
        <v>0</v>
      </c>
      <c r="G138" s="65">
        <f>IF(ISERROR(A138),NA(),IF(B138&gt;=Пенсия!$E$5,D138-F138,0))</f>
        <v>0</v>
      </c>
      <c r="H138" s="64">
        <f>IF(ISERROR(A138),NA(),FV(C138/Пенсия!$E$60,Пенсия!$E$60,-(E138)/Пенсия!$E$60,-(I137-G138*Пенсия!$E$61),0)-(I137+E138-G138*Пенсия!$E$61))</f>
        <v>89880.00000000023</v>
      </c>
      <c r="I138" s="64">
        <f>IF(ISERROR(A138),NA(),I137+E138+H138-G138)</f>
        <v>1775152.0000000007</v>
      </c>
      <c r="J138" s="2"/>
      <c r="K138" s="2"/>
      <c r="L138" s="2"/>
      <c r="M138" s="2"/>
    </row>
    <row r="139" spans="1:13" ht="12.75">
      <c r="A139" s="62">
        <f>IF(OR(I138&lt;0,A138&gt;=(Пенсия!$E$5-Пенсия!$E$4)+Пенсия!$E$6),NA(),A138+1)</f>
        <v>4</v>
      </c>
      <c r="B139" s="62">
        <f>IF(ISERROR(A139),NA(),Пенсия!$E$4+A139-1)</f>
        <v>28</v>
      </c>
      <c r="C139" s="63">
        <f>IF(ISERROR(A139),NA(),IF(B139&lt;Пенсия!$E$5,Пенсия!$E$10,Пенсия!$E$11))</f>
        <v>0.06</v>
      </c>
      <c r="D139" s="64">
        <f>IF(ISERROR(A139),NA(),IF(B139&gt;=Пенсия!$E$5,Пенсия!$E$16*(1+Пенсия!$E$12)^(B139-Пенсия!$E$5),(1+Пенсия!$E$23)*D138))</f>
        <v>1910174.4000000001</v>
      </c>
      <c r="E139" s="64">
        <f>IF(ISERROR(A139),NA(),IF(B139=Пенсия!$E$5-1,Пенсия!$E$34)+IF(A139&lt;=Пенсия!$E$7,Пенсия!$E$24*D139,0))</f>
        <v>191017.44000000003</v>
      </c>
      <c r="F139" s="65">
        <f>IF(ISERROR(A139),NA(),IF(ISERROR(B139),0,IF(AND(B139&gt;=$E$29,B139&lt;($E$29+$E$32)),$E$30*(1+Пенсия!$E$31)^(B139-$E$29),0)))</f>
        <v>0</v>
      </c>
      <c r="G139" s="65">
        <f>IF(ISERROR(A139),NA(),IF(B139&gt;=Пенсия!$E$5,D139-F139,0))</f>
        <v>0</v>
      </c>
      <c r="H139" s="64">
        <f>IF(ISERROR(A139),NA(),FV(C139/Пенсия!$E$60,Пенсия!$E$60,-(E139)/Пенсия!$E$60,-(I138-G139*Пенсия!$E$61),0)-(I138+E139-G139*Пенсия!$E$61))</f>
        <v>106509.12000000034</v>
      </c>
      <c r="I139" s="64">
        <f>IF(ISERROR(A139),NA(),I138+E139+H139-G139)</f>
        <v>2072678.560000001</v>
      </c>
      <c r="J139" s="2"/>
      <c r="K139" s="2"/>
      <c r="L139" s="2"/>
      <c r="M139" s="2"/>
    </row>
    <row r="140" spans="1:13" ht="12.75">
      <c r="A140" s="62">
        <f>IF(OR(I139&lt;0,A139&gt;=(Пенсия!$E$5-Пенсия!$E$4)+Пенсия!$E$6),NA(),A139+1)</f>
        <v>5</v>
      </c>
      <c r="B140" s="62">
        <f>IF(ISERROR(A140),NA(),Пенсия!$E$4+A140-1)</f>
        <v>29</v>
      </c>
      <c r="C140" s="63">
        <f>IF(ISERROR(A140),NA(),IF(B140&lt;Пенсия!$E$5,Пенсия!$E$10,Пенсия!$E$11))</f>
        <v>0.06</v>
      </c>
      <c r="D140" s="64">
        <f>IF(ISERROR(A140),NA(),IF(B140&gt;=Пенсия!$E$5,Пенсия!$E$16*(1+Пенсия!$E$12)^(B140-Пенсия!$E$5),(1+Пенсия!$E$23)*D139))</f>
        <v>1948377.8880000003</v>
      </c>
      <c r="E140" s="64">
        <f>IF(ISERROR(A140),NA(),IF(B140=Пенсия!$E$5-1,Пенсия!$E$34)+IF(A140&lt;=Пенсия!$E$7,Пенсия!$E$24*D140,0))</f>
        <v>194837.78880000004</v>
      </c>
      <c r="F140" s="65">
        <f>IF(ISERROR(A140),NA(),IF(ISERROR(B140),0,IF(AND(B140&gt;=$E$29,B140&lt;($E$29+$E$32)),$E$30*(1+Пенсия!$E$31)^(B140-$E$29),0)))</f>
        <v>0</v>
      </c>
      <c r="G140" s="65">
        <f>IF(ISERROR(A140),NA(),IF(B140&gt;=Пенсия!$E$5,D140-F140,0))</f>
        <v>0</v>
      </c>
      <c r="H140" s="64">
        <f>IF(ISERROR(A140),NA(),FV(C140/Пенсия!$E$60,Пенсия!$E$60,-(E140)/Пенсия!$E$60,-(I139-G140*Пенсия!$E$61),0)-(I139+E140-G140*Пенсия!$E$61))</f>
        <v>124360.71360000037</v>
      </c>
      <c r="I140" s="64">
        <f>IF(ISERROR(A140),NA(),I139+E140+H140-G140)</f>
        <v>2391877.0624000016</v>
      </c>
      <c r="J140" s="2"/>
      <c r="K140" s="2"/>
      <c r="L140" s="2"/>
      <c r="M140" s="2"/>
    </row>
    <row r="141" spans="1:13" ht="12.75">
      <c r="A141" s="62">
        <f>IF(OR(I140&lt;0,A140&gt;=(Пенсия!$E$5-Пенсия!$E$4)+Пенсия!$E$6),NA(),A140+1)</f>
        <v>6</v>
      </c>
      <c r="B141" s="62">
        <f>IF(ISERROR(A141),NA(),Пенсия!$E$4+A141-1)</f>
        <v>30</v>
      </c>
      <c r="C141" s="63">
        <f>IF(ISERROR(A141),NA(),IF(B141&lt;Пенсия!$E$5,Пенсия!$E$10,Пенсия!$E$11))</f>
        <v>0.06</v>
      </c>
      <c r="D141" s="64">
        <f>IF(ISERROR(A141),NA(),IF(B141&gt;=Пенсия!$E$5,Пенсия!$E$16*(1+Пенсия!$E$12)^(B141-Пенсия!$E$5),(1+Пенсия!$E$23)*D140))</f>
        <v>1987345.4457600003</v>
      </c>
      <c r="E141" s="64">
        <f>IF(ISERROR(A141),NA(),IF(B141=Пенсия!$E$5-1,Пенсия!$E$34)+IF(A141&lt;=Пенсия!$E$7,Пенсия!$E$24*D141,0))</f>
        <v>198734.54457600004</v>
      </c>
      <c r="F141" s="65">
        <f>IF(ISERROR(A141),NA(),IF(ISERROR(B141),0,IF(AND(B141&gt;=$E$29,B141&lt;($E$29+$E$32)),$E$30*(1+Пенсия!$E$31)^(B141-$E$29),0)))</f>
        <v>0</v>
      </c>
      <c r="G141" s="65">
        <f>IF(ISERROR(A141),NA(),IF(B141&gt;=Пенсия!$E$5,D141-F141,0))</f>
        <v>0</v>
      </c>
      <c r="H141" s="64">
        <f>IF(ISERROR(A141),NA(),FV(C141/Пенсия!$E$60,Пенсия!$E$60,-(E141)/Пенсия!$E$60,-(I140-G141*Пенсия!$E$61),0)-(I140+E141-G141*Пенсия!$E$61))</f>
        <v>143512.62374400068</v>
      </c>
      <c r="I141" s="64">
        <f>IF(ISERROR(A141),NA(),I140+E141+H141-G141)</f>
        <v>2734124.230720002</v>
      </c>
      <c r="J141" s="2"/>
      <c r="K141" s="2"/>
      <c r="L141" s="2"/>
      <c r="M141" s="2"/>
    </row>
    <row r="142" spans="1:13" ht="12.75">
      <c r="A142" s="62">
        <f>IF(OR(I141&lt;0,A141&gt;=(Пенсия!$E$5-Пенсия!$E$4)+Пенсия!$E$6),NA(),A141+1)</f>
        <v>7</v>
      </c>
      <c r="B142" s="62">
        <f>IF(ISERROR(A142),NA(),Пенсия!$E$4+A142-1)</f>
        <v>31</v>
      </c>
      <c r="C142" s="63">
        <f>IF(ISERROR(A142),NA(),IF(B142&lt;Пенсия!$E$5,Пенсия!$E$10,Пенсия!$E$11))</f>
        <v>0.06</v>
      </c>
      <c r="D142" s="64">
        <f>IF(ISERROR(A142),NA(),IF(B142&gt;=Пенсия!$E$5,Пенсия!$E$16*(1+Пенсия!$E$12)^(B142-Пенсия!$E$5),(1+Пенсия!$E$23)*D141))</f>
        <v>2027092.3546752003</v>
      </c>
      <c r="E142" s="64">
        <f>IF(ISERROR(A142),NA(),IF(B142=Пенсия!$E$5-1,Пенсия!$E$34)+IF(A142&lt;=Пенсия!$E$7,Пенсия!$E$24*D142,0))</f>
        <v>202709.23546752005</v>
      </c>
      <c r="F142" s="65">
        <f>IF(ISERROR(A142),NA(),IF(ISERROR(B142),0,IF(AND(B142&gt;=$E$29,B142&lt;($E$29+$E$32)),$E$30*(1+Пенсия!$E$31)^(B142-$E$29),0)))</f>
        <v>0</v>
      </c>
      <c r="G142" s="65">
        <f>IF(ISERROR(A142),NA(),IF(B142&gt;=Пенсия!$E$5,D142-F142,0))</f>
        <v>0</v>
      </c>
      <c r="H142" s="64">
        <f>IF(ISERROR(A142),NA(),FV(C142/Пенсия!$E$60,Пенсия!$E$60,-(E142)/Пенсия!$E$60,-(I141-G142*Пенсия!$E$61),0)-(I141+E142-G142*Пенсия!$E$61))</f>
        <v>164047.4538432001</v>
      </c>
      <c r="I142" s="64">
        <f>IF(ISERROR(A142),NA(),I141+E142+H142-G142)</f>
        <v>3100880.9200307224</v>
      </c>
      <c r="J142" s="2"/>
      <c r="K142" s="2"/>
      <c r="L142" s="2"/>
      <c r="M142" s="2"/>
    </row>
    <row r="143" spans="1:13" ht="12.75">
      <c r="A143" s="62">
        <f>IF(OR(I142&lt;0,A142&gt;=(Пенсия!$E$5-Пенсия!$E$4)+Пенсия!$E$6),NA(),A142+1)</f>
        <v>8</v>
      </c>
      <c r="B143" s="62">
        <f>IF(ISERROR(A143),NA(),Пенсия!$E$4+A143-1)</f>
        <v>32</v>
      </c>
      <c r="C143" s="63">
        <f>IF(ISERROR(A143),NA(),IF(B143&lt;Пенсия!$E$5,Пенсия!$E$10,Пенсия!$E$11))</f>
        <v>0.06</v>
      </c>
      <c r="D143" s="64">
        <f>IF(ISERROR(A143),NA(),IF(B143&gt;=Пенсия!$E$5,Пенсия!$E$16*(1+Пенсия!$E$12)^(B143-Пенсия!$E$5),(1+Пенсия!$E$23)*D142))</f>
        <v>2067634.2017687045</v>
      </c>
      <c r="E143" s="64">
        <f>IF(ISERROR(A143),NA(),IF(B143=Пенсия!$E$5-1,Пенсия!$E$34)+IF(A143&lt;=Пенсия!$E$7,Пенсия!$E$24*D143,0))</f>
        <v>206763.42017687045</v>
      </c>
      <c r="F143" s="65">
        <f>IF(ISERROR(A143),NA(),IF(ISERROR(B143),0,IF(AND(B143&gt;=$E$29,B143&lt;($E$29+$E$32)),$E$30*(1+Пенсия!$E$31)^(B143-$E$29),0)))</f>
        <v>0</v>
      </c>
      <c r="G143" s="65">
        <f>IF(ISERROR(A143),NA(),IF(B143&gt;=Пенсия!$E$5,D143-F143,0))</f>
        <v>0</v>
      </c>
      <c r="H143" s="64">
        <f>IF(ISERROR(A143),NA(),FV(C143/Пенсия!$E$60,Пенсия!$E$60,-(E143)/Пенсия!$E$60,-(I142-G143*Пенсия!$E$61),0)-(I142+E143-G143*Пенсия!$E$61))</f>
        <v>186052.85520184366</v>
      </c>
      <c r="I143" s="64">
        <f>IF(ISERROR(A143),NA(),I142+E143+H143-G143)</f>
        <v>3493697.1954094367</v>
      </c>
      <c r="J143" s="2"/>
      <c r="K143" s="2"/>
      <c r="L143" s="2"/>
      <c r="M143" s="2"/>
    </row>
    <row r="144" spans="1:13" ht="12.75">
      <c r="A144" s="62">
        <f>IF(OR(I143&lt;0,A143&gt;=(Пенсия!$E$5-Пенсия!$E$4)+Пенсия!$E$6),NA(),A143+1)</f>
        <v>9</v>
      </c>
      <c r="B144" s="62">
        <f>IF(ISERROR(A144),NA(),Пенсия!$E$4+A144-1)</f>
        <v>33</v>
      </c>
      <c r="C144" s="63">
        <f>IF(ISERROR(A144),NA(),IF(B144&lt;Пенсия!$E$5,Пенсия!$E$10,Пенсия!$E$11))</f>
        <v>0.06</v>
      </c>
      <c r="D144" s="64">
        <f>IF(ISERROR(A144),NA(),IF(B144&gt;=Пенсия!$E$5,Пенсия!$E$16*(1+Пенсия!$E$12)^(B144-Пенсия!$E$5),(1+Пенсия!$E$23)*D143))</f>
        <v>2108986.8858040785</v>
      </c>
      <c r="E144" s="64">
        <f>IF(ISERROR(A144),NA(),IF(B144=Пенсия!$E$5-1,Пенсия!$E$34)+IF(A144&lt;=Пенсия!$E$7,Пенсия!$E$24*D144,0))</f>
        <v>210898.68858040788</v>
      </c>
      <c r="F144" s="65">
        <f>IF(ISERROR(A144),NA(),IF(ISERROR(B144),0,IF(AND(B144&gt;=$E$29,B144&lt;($E$29+$E$32)),$E$30*(1+Пенсия!$E$31)^(B144-$E$29),0)))</f>
        <v>0</v>
      </c>
      <c r="G144" s="65">
        <f>IF(ISERROR(A144),NA(),IF(B144&gt;=Пенсия!$E$5,D144-F144,0))</f>
        <v>0</v>
      </c>
      <c r="H144" s="64">
        <f>IF(ISERROR(A144),NA(),FV(C144/Пенсия!$E$60,Пенсия!$E$60,-(E144)/Пенсия!$E$60,-(I143-G144*Пенсия!$E$61),0)-(I143+E144-G144*Пенсия!$E$61))</f>
        <v>209621.83172456687</v>
      </c>
      <c r="I144" s="64">
        <f>IF(ISERROR(A144),NA(),I143+E144+H144-G144)</f>
        <v>3914217.7157144113</v>
      </c>
      <c r="J144" s="2"/>
      <c r="K144" s="2"/>
      <c r="L144" s="2"/>
      <c r="M144" s="2"/>
    </row>
    <row r="145" spans="1:13" ht="12.75">
      <c r="A145" s="62">
        <f>IF(OR(I144&lt;0,A144&gt;=(Пенсия!$E$5-Пенсия!$E$4)+Пенсия!$E$6),NA(),A144+1)</f>
        <v>10</v>
      </c>
      <c r="B145" s="62">
        <f>IF(ISERROR(A145),NA(),Пенсия!$E$4+A145-1)</f>
        <v>34</v>
      </c>
      <c r="C145" s="63">
        <f>IF(ISERROR(A145),NA(),IF(B145&lt;Пенсия!$E$5,Пенсия!$E$10,Пенсия!$E$11))</f>
        <v>0.06</v>
      </c>
      <c r="D145" s="64">
        <f>IF(ISERROR(A145),NA(),IF(B145&gt;=Пенсия!$E$5,Пенсия!$E$16*(1+Пенсия!$E$12)^(B145-Пенсия!$E$5),(1+Пенсия!$E$23)*D144))</f>
        <v>2151166.62352016</v>
      </c>
      <c r="E145" s="64">
        <f>IF(ISERROR(A145),NA(),IF(B145=Пенсия!$E$5-1,Пенсия!$E$34)+IF(A145&lt;=Пенсия!$E$7,Пенсия!$E$24*D145,0))</f>
        <v>215116.66235201602</v>
      </c>
      <c r="F145" s="65">
        <f>IF(ISERROR(A145),NA(),IF(ISERROR(B145),0,IF(AND(B145&gt;=$E$29,B145&lt;($E$29+$E$32)),$E$30*(1+Пенсия!$E$31)^(B145-$E$29),0)))</f>
        <v>0</v>
      </c>
      <c r="G145" s="65">
        <f>IF(ISERROR(A145),NA(),IF(B145&gt;=Пенсия!$E$5,D145-F145,0))</f>
        <v>0</v>
      </c>
      <c r="H145" s="64">
        <f>IF(ISERROR(A145),NA(),FV(C145/Пенсия!$E$60,Пенсия!$E$60,-(E145)/Пенсия!$E$60,-(I144-G145*Пенсия!$E$61),0)-(I144+E145-G145*Пенсия!$E$61))</f>
        <v>234853.06294286484</v>
      </c>
      <c r="I145" s="64">
        <f>IF(ISERROR(A145),NA(),I144+E145+H145-G145)</f>
        <v>4364187.441009292</v>
      </c>
      <c r="J145" s="2"/>
      <c r="K145" s="2"/>
      <c r="L145" s="2"/>
      <c r="M145" s="2"/>
    </row>
    <row r="146" spans="1:13" ht="12.75">
      <c r="A146" s="62">
        <f>IF(OR(I145&lt;0,A145&gt;=(Пенсия!$E$5-Пенсия!$E$4)+Пенсия!$E$6),NA(),A145+1)</f>
        <v>11</v>
      </c>
      <c r="B146" s="62">
        <f>IF(ISERROR(A146),NA(),Пенсия!$E$4+A146-1)</f>
        <v>35</v>
      </c>
      <c r="C146" s="63">
        <f>IF(ISERROR(A146),NA(),IF(B146&lt;Пенсия!$E$5,Пенсия!$E$10,Пенсия!$E$11))</f>
        <v>0.06</v>
      </c>
      <c r="D146" s="64">
        <f>IF(ISERROR(A146),NA(),IF(B146&gt;=Пенсия!$E$5,Пенсия!$E$16*(1+Пенсия!$E$12)^(B146-Пенсия!$E$5),(1+Пенсия!$E$23)*D145))</f>
        <v>2194189.955990563</v>
      </c>
      <c r="E146" s="64">
        <f>IF(ISERROR(A146),NA(),IF(B146=Пенсия!$E$5-1,Пенсия!$E$34)+IF(A146&lt;=Пенсия!$E$7,Пенсия!$E$24*D146,0))</f>
        <v>219418.99559905633</v>
      </c>
      <c r="F146" s="65">
        <f>IF(ISERROR(A146),NA(),IF(ISERROR(B146),0,IF(AND(B146&gt;=$E$29,B146&lt;($E$29+$E$32)),$E$30*(1+Пенсия!$E$31)^(B146-$E$29),0)))</f>
        <v>0</v>
      </c>
      <c r="G146" s="65">
        <f>IF(ISERROR(A146),NA(),IF(B146&gt;=Пенсия!$E$5,D146-F146,0))</f>
        <v>0</v>
      </c>
      <c r="H146" s="64">
        <f>IF(ISERROR(A146),NA(),FV(C146/Пенсия!$E$60,Пенсия!$E$60,-(E146)/Пенсия!$E$60,-(I145-G146*Пенсия!$E$61),0)-(I145+E146-G146*Пенсия!$E$61))</f>
        <v>261851.24646055792</v>
      </c>
      <c r="I146" s="64">
        <f>IF(ISERROR(A146),NA(),I145+E146+H146-G146)</f>
        <v>4845457.683068907</v>
      </c>
      <c r="J146" s="2"/>
      <c r="K146" s="2"/>
      <c r="L146" s="2"/>
      <c r="M146" s="2"/>
    </row>
    <row r="147" spans="1:13" ht="12.75">
      <c r="A147" s="62">
        <f>IF(OR(I146&lt;0,A146&gt;=(Пенсия!$E$5-Пенсия!$E$4)+Пенсия!$E$6),NA(),A146+1)</f>
        <v>12</v>
      </c>
      <c r="B147" s="62">
        <f>IF(ISERROR(A147),NA(),Пенсия!$E$4+A147-1)</f>
        <v>36</v>
      </c>
      <c r="C147" s="63">
        <f>IF(ISERROR(A147),NA(),IF(B147&lt;Пенсия!$E$5,Пенсия!$E$10,Пенсия!$E$11))</f>
        <v>0.06</v>
      </c>
      <c r="D147" s="64">
        <f>IF(ISERROR(A147),NA(),IF(B147&gt;=Пенсия!$E$5,Пенсия!$E$16*(1+Пенсия!$E$12)^(B147-Пенсия!$E$5),(1+Пенсия!$E$23)*D146))</f>
        <v>2238073.7551103747</v>
      </c>
      <c r="E147" s="64">
        <f>IF(ISERROR(A147),NA(),IF(B147=Пенсия!$E$5-1,Пенсия!$E$34)+IF(A147&lt;=Пенсия!$E$7,Пенсия!$E$24*D147,0))</f>
        <v>223807.37551103748</v>
      </c>
      <c r="F147" s="65">
        <f>IF(ISERROR(A147),NA(),IF(ISERROR(B147),0,IF(AND(B147&gt;=$E$29,B147&lt;($E$29+$E$32)),$E$30*(1+Пенсия!$E$31)^(B147-$E$29),0)))</f>
        <v>0</v>
      </c>
      <c r="G147" s="65">
        <f>IF(ISERROR(A147),NA(),IF(B147&gt;=Пенсия!$E$5,D147-F147,0))</f>
        <v>0</v>
      </c>
      <c r="H147" s="64">
        <f>IF(ISERROR(A147),NA(),FV(C147/Пенсия!$E$60,Пенсия!$E$60,-(E147)/Пенсия!$E$60,-(I146-G147*Пенсия!$E$61),0)-(I146+E147-G147*Пенсия!$E$61))</f>
        <v>290727.460984136</v>
      </c>
      <c r="I147" s="64">
        <f>IF(ISERROR(A147),NA(),I146+E147+H147-G147)</f>
        <v>5359992.51956408</v>
      </c>
      <c r="J147" s="2"/>
      <c r="K147" s="2"/>
      <c r="L147" s="2"/>
      <c r="M147" s="2"/>
    </row>
    <row r="148" spans="1:13" ht="12.75">
      <c r="A148" s="62">
        <f>IF(OR(I147&lt;0,A147&gt;=(Пенсия!$E$5-Пенсия!$E$4)+Пенсия!$E$6),NA(),A147+1)</f>
        <v>13</v>
      </c>
      <c r="B148" s="62">
        <f>IF(ISERROR(A148),NA(),Пенсия!$E$4+A148-1)</f>
        <v>37</v>
      </c>
      <c r="C148" s="63">
        <f>IF(ISERROR(A148),NA(),IF(B148&lt;Пенсия!$E$5,Пенсия!$E$10,Пенсия!$E$11))</f>
        <v>0.06</v>
      </c>
      <c r="D148" s="64">
        <f>IF(ISERROR(A148),NA(),IF(B148&gt;=Пенсия!$E$5,Пенсия!$E$16*(1+Пенсия!$E$12)^(B148-Пенсия!$E$5),(1+Пенсия!$E$23)*D147))</f>
        <v>2282835.2302125823</v>
      </c>
      <c r="E148" s="64">
        <f>IF(ISERROR(A148),NA(),IF(B148=Пенсия!$E$5-1,Пенсия!$E$34)+IF(A148&lt;=Пенсия!$E$7,Пенсия!$E$24*D148,0))</f>
        <v>228283.52302125824</v>
      </c>
      <c r="F148" s="65">
        <f>IF(ISERROR(A148),NA(),IF(ISERROR(B148),0,IF(AND(B148&gt;=$E$29,B148&lt;($E$29+$E$32)),$E$30*(1+Пенсия!$E$31)^(B148-$E$29),0)))</f>
        <v>0</v>
      </c>
      <c r="G148" s="65">
        <f>IF(ISERROR(A148),NA(),IF(B148&gt;=Пенсия!$E$5,D148-F148,0))</f>
        <v>0</v>
      </c>
      <c r="H148" s="64">
        <f>IF(ISERROR(A148),NA(),FV(C148/Пенсия!$E$60,Пенсия!$E$60,-(E148)/Пенсия!$E$60,-(I147-G148*Пенсия!$E$61),0)-(I147+E148-G148*Пенсия!$E$61))</f>
        <v>321599.5511738453</v>
      </c>
      <c r="I148" s="64">
        <f>IF(ISERROR(A148),NA(),I147+E148+H148-G148)</f>
        <v>5909875.593759184</v>
      </c>
      <c r="J148" s="2"/>
      <c r="K148" s="2"/>
      <c r="L148" s="2"/>
      <c r="M148" s="2"/>
    </row>
    <row r="149" spans="1:13" ht="12.75">
      <c r="A149" s="62">
        <f>IF(OR(I148&lt;0,A148&gt;=(Пенсия!$E$5-Пенсия!$E$4)+Пенсия!$E$6),NA(),A148+1)</f>
        <v>14</v>
      </c>
      <c r="B149" s="62">
        <f>IF(ISERROR(A149),NA(),Пенсия!$E$4+A149-1)</f>
        <v>38</v>
      </c>
      <c r="C149" s="63">
        <f>IF(ISERROR(A149),NA(),IF(B149&lt;Пенсия!$E$5,Пенсия!$E$10,Пенсия!$E$11))</f>
        <v>0.06</v>
      </c>
      <c r="D149" s="64">
        <f>IF(ISERROR(A149),NA(),IF(B149&gt;=Пенсия!$E$5,Пенсия!$E$16*(1+Пенсия!$E$12)^(B149-Пенсия!$E$5),(1+Пенсия!$E$23)*D148))</f>
        <v>2328491.934816834</v>
      </c>
      <c r="E149" s="64">
        <f>IF(ISERROR(A149),NA(),IF(B149=Пенсия!$E$5-1,Пенсия!$E$34)+IF(A149&lt;=Пенсия!$E$7,Пенсия!$E$24*D149,0))</f>
        <v>232849.1934816834</v>
      </c>
      <c r="F149" s="65">
        <f>IF(ISERROR(A149),NA(),IF(ISERROR(B149),0,IF(AND(B149&gt;=$E$29,B149&lt;($E$29+$E$32)),$E$30*(1+Пенсия!$E$31)^(B149-$E$29),0)))</f>
        <v>0</v>
      </c>
      <c r="G149" s="65">
        <f>IF(ISERROR(A149),NA(),IF(B149&gt;=Пенсия!$E$5,D149-F149,0))</f>
        <v>0</v>
      </c>
      <c r="H149" s="64">
        <f>IF(ISERROR(A149),NA(),FV(C149/Пенсия!$E$60,Пенсия!$E$60,-(E149)/Пенсия!$E$60,-(I148-G149*Пенсия!$E$61),0)-(I148+E149-G149*Пенсия!$E$61))</f>
        <v>354592.5356255509</v>
      </c>
      <c r="I149" s="64">
        <f>IF(ISERROR(A149),NA(),I148+E149+H149-G149)</f>
        <v>6497317.322866418</v>
      </c>
      <c r="J149" s="2"/>
      <c r="K149" s="2"/>
      <c r="L149" s="2"/>
      <c r="M149" s="2"/>
    </row>
    <row r="150" spans="1:13" ht="12.75">
      <c r="A150" s="62">
        <f>IF(OR(I149&lt;0,A149&gt;=(Пенсия!$E$5-Пенсия!$E$4)+Пенсия!$E$6),NA(),A149+1)</f>
        <v>15</v>
      </c>
      <c r="B150" s="62">
        <f>IF(ISERROR(A150),NA(),Пенсия!$E$4+A150-1)</f>
        <v>39</v>
      </c>
      <c r="C150" s="63">
        <f>IF(ISERROR(A150),NA(),IF(B150&lt;Пенсия!$E$5,Пенсия!$E$10,Пенсия!$E$11))</f>
        <v>0.06</v>
      </c>
      <c r="D150" s="64">
        <f>IF(ISERROR(A150),NA(),IF(B150&gt;=Пенсия!$E$5,Пенсия!$E$16*(1+Пенсия!$E$12)^(B150-Пенсия!$E$5),(1+Пенсия!$E$23)*D149))</f>
        <v>2375061.773513171</v>
      </c>
      <c r="E150" s="64">
        <f>IF(ISERROR(A150),NA(),IF(B150=Пенсия!$E$5-1,Пенсия!$E$34)+IF(A150&lt;=Пенсия!$E$7,Пенсия!$E$24*D150,0))</f>
        <v>237506.1773513171</v>
      </c>
      <c r="F150" s="65">
        <f>IF(ISERROR(A150),NA(),IF(ISERROR(B150),0,IF(AND(B150&gt;=$E$29,B150&lt;($E$29+$E$32)),$E$30*(1+Пенсия!$E$31)^(B150-$E$29),0)))</f>
        <v>0</v>
      </c>
      <c r="G150" s="65">
        <f>IF(ISERROR(A150),NA(),IF(B150&gt;=Пенсия!$E$5,D150-F150,0))</f>
        <v>0</v>
      </c>
      <c r="H150" s="64">
        <f>IF(ISERROR(A150),NA(),FV(C150/Пенсия!$E$60,Пенсия!$E$60,-(E150)/Пенсия!$E$60,-(I149-G150*Пенсия!$E$61),0)-(I149+E150-G150*Пенсия!$E$61))</f>
        <v>389839.039371985</v>
      </c>
      <c r="I150" s="64">
        <f>IF(ISERROR(A150),NA(),I149+E150+H150-G150)</f>
        <v>7124662.539589721</v>
      </c>
      <c r="J150" s="2"/>
      <c r="K150" s="2"/>
      <c r="L150" s="2"/>
      <c r="M150" s="2"/>
    </row>
    <row r="151" spans="1:13" ht="12.75">
      <c r="A151" s="62">
        <f>IF(OR(I150&lt;0,A150&gt;=(Пенсия!$E$5-Пенсия!$E$4)+Пенсия!$E$6),NA(),A150+1)</f>
        <v>16</v>
      </c>
      <c r="B151" s="62">
        <f>IF(ISERROR(A151),NA(),Пенсия!$E$4+A151-1)</f>
        <v>40</v>
      </c>
      <c r="C151" s="63">
        <f>IF(ISERROR(A151),NA(),IF(B151&lt;Пенсия!$E$5,Пенсия!$E$10,Пенсия!$E$11))</f>
        <v>0.06</v>
      </c>
      <c r="D151" s="64">
        <f>IF(ISERROR(A151),NA(),IF(B151&gt;=Пенсия!$E$5,Пенсия!$E$16*(1+Пенсия!$E$12)^(B151-Пенсия!$E$5),(1+Пенсия!$E$23)*D150))</f>
        <v>2422563.008983434</v>
      </c>
      <c r="E151" s="64">
        <f>IF(ISERROR(A151),NA(),IF(B151=Пенсия!$E$5-1,Пенсия!$E$34)+IF(A151&lt;=Пенсия!$E$7,Пенсия!$E$24*D151,0))</f>
        <v>242256.30089834344</v>
      </c>
      <c r="F151" s="65">
        <f>IF(ISERROR(A151),NA(),IF(ISERROR(B151),0,IF(AND(B151&gt;=$E$29,B151&lt;($E$29+$E$32)),$E$30*(1+Пенсия!$E$31)^(B151-$E$29),0)))</f>
        <v>0</v>
      </c>
      <c r="G151" s="65">
        <f>IF(ISERROR(A151),NA(),IF(B151&gt;=Пенсия!$E$5,D151-F151,0))</f>
        <v>0</v>
      </c>
      <c r="H151" s="64">
        <f>IF(ISERROR(A151),NA(),FV(C151/Пенсия!$E$60,Пенсия!$E$60,-(E151)/Пенсия!$E$60,-(I150-G151*Пенсия!$E$61),0)-(I150+E151-G151*Пенсия!$E$61))</f>
        <v>427479.75237538386</v>
      </c>
      <c r="I151" s="64">
        <f>IF(ISERROR(A151),NA(),I150+E151+H151-G151)</f>
        <v>7794398.592863448</v>
      </c>
      <c r="J151" s="2"/>
      <c r="K151" s="2"/>
      <c r="L151" s="2"/>
      <c r="M151" s="2"/>
    </row>
    <row r="152" spans="1:13" ht="12.75">
      <c r="A152" s="62">
        <f>IF(OR(I151&lt;0,A151&gt;=(Пенсия!$E$5-Пенсия!$E$4)+Пенсия!$E$6),NA(),A151+1)</f>
        <v>17</v>
      </c>
      <c r="B152" s="62">
        <f>IF(ISERROR(A152),NA(),Пенсия!$E$4+A152-1)</f>
        <v>41</v>
      </c>
      <c r="C152" s="63">
        <f>IF(ISERROR(A152),NA(),IF(B152&lt;Пенсия!$E$5,Пенсия!$E$10,Пенсия!$E$11))</f>
        <v>0.06</v>
      </c>
      <c r="D152" s="64">
        <f>IF(ISERROR(A152),NA(),IF(B152&gt;=Пенсия!$E$5,Пенсия!$E$16*(1+Пенсия!$E$12)^(B152-Пенсия!$E$5),(1+Пенсия!$E$23)*D151))</f>
        <v>2471014.269163103</v>
      </c>
      <c r="E152" s="64">
        <f>IF(ISERROR(A152),NA(),IF(B152=Пенсия!$E$5-1,Пенсия!$E$34)+IF(A152&lt;=Пенсия!$E$7,Пенсия!$E$24*D152,0))</f>
        <v>247101.4269163103</v>
      </c>
      <c r="F152" s="65">
        <f>IF(ISERROR(A152),NA(),IF(ISERROR(B152),0,IF(AND(B152&gt;=$E$29,B152&lt;($E$29+$E$32)),$E$30*(1+Пенсия!$E$31)^(B152-$E$29),0)))</f>
        <v>0</v>
      </c>
      <c r="G152" s="65">
        <f>IF(ISERROR(A152),NA(),IF(B152&gt;=Пенсия!$E$5,D152-F152,0))</f>
        <v>0</v>
      </c>
      <c r="H152" s="64">
        <f>IF(ISERROR(A152),NA(),FV(C152/Пенсия!$E$60,Пенсия!$E$60,-(E152)/Пенсия!$E$60,-(I151-G152*Пенсия!$E$61),0)-(I151+E152-G152*Пенсия!$E$61))</f>
        <v>467663.91557180695</v>
      </c>
      <c r="I152" s="64">
        <f>IF(ISERROR(A152),NA(),I151+E152+H152-G152)</f>
        <v>8509163.935351565</v>
      </c>
      <c r="J152" s="2"/>
      <c r="K152" s="2"/>
      <c r="L152" s="2"/>
      <c r="M152" s="2"/>
    </row>
    <row r="153" spans="1:13" ht="12.75">
      <c r="A153" s="62">
        <f>IF(OR(I152&lt;0,A152&gt;=(Пенсия!$E$5-Пенсия!$E$4)+Пенсия!$E$6),NA(),A152+1)</f>
        <v>18</v>
      </c>
      <c r="B153" s="62">
        <f>IF(ISERROR(A153),NA(),Пенсия!$E$4+A153-1)</f>
        <v>42</v>
      </c>
      <c r="C153" s="63">
        <f>IF(ISERROR(A153),NA(),IF(B153&lt;Пенсия!$E$5,Пенсия!$E$10,Пенсия!$E$11))</f>
        <v>0.06</v>
      </c>
      <c r="D153" s="64">
        <f>IF(ISERROR(A153),NA(),IF(B153&gt;=Пенсия!$E$5,Пенсия!$E$16*(1+Пенсия!$E$12)^(B153-Пенсия!$E$5),(1+Пенсия!$E$23)*D152))</f>
        <v>2520434.554546365</v>
      </c>
      <c r="E153" s="64">
        <f>IF(ISERROR(A153),NA(),IF(B153=Пенсия!$E$5-1,Пенсия!$E$34)+IF(A153&lt;=Пенсия!$E$7,Пенсия!$E$24*D153,0))</f>
        <v>252043.4554546365</v>
      </c>
      <c r="F153" s="65">
        <f>IF(ISERROR(A153),NA(),IF(ISERROR(B153),0,IF(AND(B153&gt;=$E$29,B153&lt;($E$29+$E$32)),$E$30*(1+Пенсия!$E$31)^(B153-$E$29),0)))</f>
        <v>0</v>
      </c>
      <c r="G153" s="65">
        <f>IF(ISERROR(A153),NA(),IF(B153&gt;=Пенсия!$E$5,D153-F153,0))</f>
        <v>0</v>
      </c>
      <c r="H153" s="64">
        <f>IF(ISERROR(A153),NA(),FV(C153/Пенсия!$E$60,Пенсия!$E$60,-(E153)/Пенсия!$E$60,-(I152-G153*Пенсия!$E$61),0)-(I152+E153-G153*Пенсия!$E$61))</f>
        <v>510549.8361210935</v>
      </c>
      <c r="I153" s="64">
        <f>IF(ISERROR(A153),NA(),I152+E153+H153-G153)</f>
        <v>9271757.226927295</v>
      </c>
      <c r="J153" s="2"/>
      <c r="K153" s="2"/>
      <c r="L153" s="2"/>
      <c r="M153" s="2"/>
    </row>
    <row r="154" spans="1:13" ht="12.75">
      <c r="A154" s="62">
        <f>IF(OR(I153&lt;0,A153&gt;=(Пенсия!$E$5-Пенсия!$E$4)+Пенсия!$E$6),NA(),A153+1)</f>
        <v>19</v>
      </c>
      <c r="B154" s="62">
        <f>IF(ISERROR(A154),NA(),Пенсия!$E$4+A154-1)</f>
        <v>43</v>
      </c>
      <c r="C154" s="63">
        <f>IF(ISERROR(A154),NA(),IF(B154&lt;Пенсия!$E$5,Пенсия!$E$10,Пенсия!$E$11))</f>
        <v>0.06</v>
      </c>
      <c r="D154" s="64">
        <f>IF(ISERROR(A154),NA(),IF(B154&gt;=Пенсия!$E$5,Пенсия!$E$16*(1+Пенсия!$E$12)^(B154-Пенсия!$E$5),(1+Пенсия!$E$23)*D153))</f>
        <v>2570843.2456372925</v>
      </c>
      <c r="E154" s="64">
        <f>IF(ISERROR(A154),NA(),IF(B154=Пенсия!$E$5-1,Пенсия!$E$34)+IF(A154&lt;=Пенсия!$E$7,Пенсия!$E$24*D154,0))</f>
        <v>257084.32456372926</v>
      </c>
      <c r="F154" s="65">
        <f>IF(ISERROR(A154),NA(),IF(ISERROR(B154),0,IF(AND(B154&gt;=$E$29,B154&lt;($E$29+$E$32)),$E$30*(1+Пенсия!$E$31)^(B154-$E$29),0)))</f>
        <v>0</v>
      </c>
      <c r="G154" s="65">
        <f>IF(ISERROR(A154),NA(),IF(B154&gt;=Пенсия!$E$5,D154-F154,0))</f>
        <v>0</v>
      </c>
      <c r="H154" s="64">
        <f>IF(ISERROR(A154),NA(),FV(C154/Пенсия!$E$60,Пенсия!$E$60,-(E154)/Пенсия!$E$60,-(I153-G154*Пенсия!$E$61),0)-(I153+E154-G154*Пенсия!$E$61))</f>
        <v>556305.433615638</v>
      </c>
      <c r="I154" s="64">
        <f>IF(ISERROR(A154),NA(),I153+E154+H154-G154)</f>
        <v>10085146.985106662</v>
      </c>
      <c r="J154" s="2"/>
      <c r="K154" s="2"/>
      <c r="L154" s="2"/>
      <c r="M154" s="2"/>
    </row>
    <row r="155" spans="1:13" ht="12.75">
      <c r="A155" s="62">
        <f>IF(OR(I154&lt;0,A154&gt;=(Пенсия!$E$5-Пенсия!$E$4)+Пенсия!$E$6),NA(),A154+1)</f>
        <v>20</v>
      </c>
      <c r="B155" s="62">
        <f>IF(ISERROR(A155),NA(),Пенсия!$E$4+A155-1)</f>
        <v>44</v>
      </c>
      <c r="C155" s="63">
        <f>IF(ISERROR(A155),NA(),IF(B155&lt;Пенсия!$E$5,Пенсия!$E$10,Пенсия!$E$11))</f>
        <v>0.06</v>
      </c>
      <c r="D155" s="64">
        <f>IF(ISERROR(A155),NA(),IF(B155&gt;=Пенсия!$E$5,Пенсия!$E$16*(1+Пенсия!$E$12)^(B155-Пенсия!$E$5),(1+Пенсия!$E$23)*D154))</f>
        <v>2622260.1105500385</v>
      </c>
      <c r="E155" s="64">
        <f>IF(ISERROR(A155),NA(),IF(B155=Пенсия!$E$5-1,Пенсия!$E$34)+IF(A155&lt;=Пенсия!$E$7,Пенсия!$E$24*D155,0))</f>
        <v>262226.01105500385</v>
      </c>
      <c r="F155" s="65">
        <f>IF(ISERROR(A155),NA(),IF(ISERROR(B155),0,IF(AND(B155&gt;=$E$29,B155&lt;($E$29+$E$32)),$E$30*(1+Пенсия!$E$31)^(B155-$E$29),0)))</f>
        <v>0</v>
      </c>
      <c r="G155" s="65">
        <f>IF(ISERROR(A155),NA(),IF(B155&gt;=Пенсия!$E$5,D155-F155,0))</f>
        <v>0</v>
      </c>
      <c r="H155" s="64">
        <f>IF(ISERROR(A155),NA(),FV(C155/Пенсия!$E$60,Пенсия!$E$60,-(E155)/Пенсия!$E$60,-(I154-G155*Пенсия!$E$61),0)-(I154+E155-G155*Пенсия!$E$61))</f>
        <v>605108.8191064</v>
      </c>
      <c r="I155" s="64">
        <f>IF(ISERROR(A155),NA(),I154+E155+H155-G155)</f>
        <v>10952481.815268066</v>
      </c>
      <c r="J155" s="2"/>
      <c r="K155" s="2"/>
      <c r="L155" s="2"/>
      <c r="M155" s="2"/>
    </row>
    <row r="156" spans="1:13" ht="12.75">
      <c r="A156" s="62">
        <f>IF(OR(I155&lt;0,A155&gt;=(Пенсия!$E$5-Пенсия!$E$4)+Пенсия!$E$6),NA(),A155+1)</f>
        <v>21</v>
      </c>
      <c r="B156" s="62">
        <f>IF(ISERROR(A156),NA(),Пенсия!$E$4+A156-1)</f>
        <v>45</v>
      </c>
      <c r="C156" s="63">
        <f>IF(ISERROR(A156),NA(),IF(B156&lt;Пенсия!$E$5,Пенсия!$E$10,Пенсия!$E$11))</f>
        <v>0.06</v>
      </c>
      <c r="D156" s="64">
        <f>IF(ISERROR(A156),NA(),IF(B156&gt;=Пенсия!$E$5,Пенсия!$E$16*(1+Пенсия!$E$12)^(B156-Пенсия!$E$5),(1+Пенсия!$E$23)*D155))</f>
        <v>2674705.3127610395</v>
      </c>
      <c r="E156" s="64">
        <f>IF(ISERROR(A156),NA(),IF(B156=Пенсия!$E$5-1,Пенсия!$E$34)+IF(A156&lt;=Пенсия!$E$7,Пенсия!$E$24*D156,0))</f>
        <v>267470.531276104</v>
      </c>
      <c r="F156" s="65">
        <f>IF(ISERROR(A156),NA(),IF(ISERROR(B156),0,IF(AND(B156&gt;=$E$29,B156&lt;($E$29+$E$32)),$E$30*(1+Пенсия!$E$31)^(B156-$E$29),0)))</f>
        <v>0</v>
      </c>
      <c r="G156" s="65">
        <f>IF(ISERROR(A156),NA(),IF(B156&gt;=Пенсия!$E$5,D156-F156,0))</f>
        <v>0</v>
      </c>
      <c r="H156" s="64">
        <f>IF(ISERROR(A156),NA(),FV(C156/Пенсия!$E$60,Пенсия!$E$60,-(E156)/Пенсия!$E$60,-(I155-G156*Пенсия!$E$61),0)-(I155+E156-G156*Пенсия!$E$61))</f>
        <v>657148.908916086</v>
      </c>
      <c r="I156" s="64">
        <f>IF(ISERROR(A156),NA(),I155+E156+H156-G156)</f>
        <v>11877101.255460255</v>
      </c>
      <c r="J156" s="2"/>
      <c r="K156" s="2"/>
      <c r="L156" s="2"/>
      <c r="M156" s="2"/>
    </row>
    <row r="157" spans="1:13" ht="12.75">
      <c r="A157" s="62">
        <f>IF(OR(I156&lt;0,A156&gt;=(Пенсия!$E$5-Пенсия!$E$4)+Пенсия!$E$6),NA(),A156+1)</f>
        <v>22</v>
      </c>
      <c r="B157" s="62">
        <f>IF(ISERROR(A157),NA(),Пенсия!$E$4+A157-1)</f>
        <v>46</v>
      </c>
      <c r="C157" s="63">
        <f>IF(ISERROR(A157),NA(),IF(B157&lt;Пенсия!$E$5,Пенсия!$E$10,Пенсия!$E$11))</f>
        <v>0.06</v>
      </c>
      <c r="D157" s="64">
        <f>IF(ISERROR(A157),NA(),IF(B157&gt;=Пенсия!$E$5,Пенсия!$E$16*(1+Пенсия!$E$12)^(B157-Пенсия!$E$5),(1+Пенсия!$E$23)*D156))</f>
        <v>2728199.41901626</v>
      </c>
      <c r="E157" s="64">
        <f>IF(ISERROR(A157),NA(),IF(B157=Пенсия!$E$5-1,Пенсия!$E$34)+IF(A157&lt;=Пенсия!$E$7,Пенсия!$E$24*D157,0))</f>
        <v>272819.941901626</v>
      </c>
      <c r="F157" s="65">
        <f>IF(ISERROR(A157),NA(),IF(ISERROR(B157),0,IF(AND(B157&gt;=$E$29,B157&lt;($E$29+$E$32)),$E$30*(1+Пенсия!$E$31)^(B157-$E$29),0)))</f>
        <v>0</v>
      </c>
      <c r="G157" s="65">
        <f>IF(ISERROR(A157),NA(),IF(B157&gt;=Пенсия!$E$5,D157-F157,0))</f>
        <v>0</v>
      </c>
      <c r="H157" s="64">
        <f>IF(ISERROR(A157),NA(),FV(C157/Пенсия!$E$60,Пенсия!$E$60,-(E157)/Пенсия!$E$60,-(I156-G157*Пенсия!$E$61),0)-(I156+E157-G157*Пенсия!$E$61))</f>
        <v>712626.0753276162</v>
      </c>
      <c r="I157" s="64">
        <f>IF(ISERROR(A157),NA(),I156+E157+H157-G157)</f>
        <v>12862547.272689497</v>
      </c>
      <c r="J157" s="2"/>
      <c r="K157" s="2"/>
      <c r="L157" s="2"/>
      <c r="M157" s="2"/>
    </row>
    <row r="158" spans="1:13" ht="12.75">
      <c r="A158" s="62">
        <f>IF(OR(I157&lt;0,A157&gt;=(Пенсия!$E$5-Пенсия!$E$4)+Пенсия!$E$6),NA(),A157+1)</f>
        <v>23</v>
      </c>
      <c r="B158" s="62">
        <f>IF(ISERROR(A158),NA(),Пенсия!$E$4+A158-1)</f>
        <v>47</v>
      </c>
      <c r="C158" s="63">
        <f>IF(ISERROR(A158),NA(),IF(B158&lt;Пенсия!$E$5,Пенсия!$E$10,Пенсия!$E$11))</f>
        <v>0.06</v>
      </c>
      <c r="D158" s="64">
        <f>IF(ISERROR(A158),NA(),IF(B158&gt;=Пенсия!$E$5,Пенсия!$E$16*(1+Пенсия!$E$12)^(B158-Пенсия!$E$5),(1+Пенсия!$E$23)*D157))</f>
        <v>2782763.407396585</v>
      </c>
      <c r="E158" s="64">
        <f>IF(ISERROR(A158),NA(),IF(B158=Пенсия!$E$5-1,Пенсия!$E$34)+IF(A158&lt;=Пенсия!$E$7,Пенсия!$E$24*D158,0))</f>
        <v>278276.3407396585</v>
      </c>
      <c r="F158" s="65">
        <f>IF(ISERROR(A158),NA(),IF(ISERROR(B158),0,IF(AND(B158&gt;=$E$29,B158&lt;($E$29+$E$32)),$E$30*(1+Пенсия!$E$31)^(B158-$E$29),0)))</f>
        <v>0</v>
      </c>
      <c r="G158" s="65">
        <f>IF(ISERROR(A158),NA(),IF(B158&gt;=Пенсия!$E$5,D158-F158,0))</f>
        <v>0</v>
      </c>
      <c r="H158" s="64">
        <f>IF(ISERROR(A158),NA(),FV(C158/Пенсия!$E$60,Пенсия!$E$60,-(E158)/Пенсия!$E$60,-(I157-G158*Пенсия!$E$61),0)-(I157+E158-G158*Пенсия!$E$61))</f>
        <v>771752.836361371</v>
      </c>
      <c r="I158" s="64">
        <f>IF(ISERROR(A158),NA(),I157+E158+H158-G158)</f>
        <v>13912576.449790526</v>
      </c>
      <c r="J158" s="2"/>
      <c r="K158" s="2"/>
      <c r="L158" s="2"/>
      <c r="M158" s="2"/>
    </row>
    <row r="159" spans="1:13" ht="12.75">
      <c r="A159" s="62">
        <f>IF(OR(I158&lt;0,A158&gt;=(Пенсия!$E$5-Пенсия!$E$4)+Пенсия!$E$6),NA(),A158+1)</f>
        <v>24</v>
      </c>
      <c r="B159" s="62">
        <f>IF(ISERROR(A159),NA(),Пенсия!$E$4+A159-1)</f>
        <v>48</v>
      </c>
      <c r="C159" s="63">
        <f>IF(ISERROR(A159),NA(),IF(B159&lt;Пенсия!$E$5,Пенсия!$E$10,Пенсия!$E$11))</f>
        <v>0.06</v>
      </c>
      <c r="D159" s="64">
        <f>IF(ISERROR(A159),NA(),IF(B159&gt;=Пенсия!$E$5,Пенсия!$E$16*(1+Пенсия!$E$12)^(B159-Пенсия!$E$5),(1+Пенсия!$E$23)*D158))</f>
        <v>2838418.675544517</v>
      </c>
      <c r="E159" s="64">
        <f>IF(ISERROR(A159),NA(),IF(B159=Пенсия!$E$5-1,Пенсия!$E$34)+IF(A159&lt;=Пенсия!$E$7,Пенсия!$E$24*D159,0))</f>
        <v>283841.86755445175</v>
      </c>
      <c r="F159" s="65">
        <f>IF(ISERROR(A159),NA(),IF(ISERROR(B159),0,IF(AND(B159&gt;=$E$29,B159&lt;($E$29+$E$32)),$E$30*(1+Пенсия!$E$31)^(B159-$E$29),0)))</f>
        <v>0</v>
      </c>
      <c r="G159" s="65">
        <f>IF(ISERROR(A159),NA(),IF(B159&gt;=Пенсия!$E$5,D159-F159,0))</f>
        <v>0</v>
      </c>
      <c r="H159" s="64">
        <f>IF(ISERROR(A159),NA(),FV(C159/Пенсия!$E$60,Пенсия!$E$60,-(E159)/Пенсия!$E$60,-(I158-G159*Пенсия!$E$61),0)-(I158+E159-G159*Пенсия!$E$61))</f>
        <v>834754.5869874321</v>
      </c>
      <c r="I159" s="64">
        <f>IF(ISERROR(A159),NA(),I158+E159+H159-G159)</f>
        <v>15031172.90433241</v>
      </c>
      <c r="J159" s="2"/>
      <c r="K159" s="2"/>
      <c r="L159" s="2"/>
      <c r="M159" s="2"/>
    </row>
    <row r="160" spans="1:13" ht="12.75">
      <c r="A160" s="62">
        <f>IF(OR(I159&lt;0,A159&gt;=(Пенсия!$E$5-Пенсия!$E$4)+Пенсия!$E$6),NA(),A159+1)</f>
        <v>25</v>
      </c>
      <c r="B160" s="62">
        <f>IF(ISERROR(A160),NA(),Пенсия!$E$4+A160-1)</f>
        <v>49</v>
      </c>
      <c r="C160" s="63">
        <f>IF(ISERROR(A160),NA(),IF(B160&lt;Пенсия!$E$5,Пенсия!$E$10,Пенсия!$E$11))</f>
        <v>0.06</v>
      </c>
      <c r="D160" s="64">
        <f>IF(ISERROR(A160),NA(),IF(B160&gt;=Пенсия!$E$5,Пенсия!$E$16*(1+Пенсия!$E$12)^(B160-Пенсия!$E$5),(1+Пенсия!$E$23)*D159))</f>
        <v>2895187.0490554073</v>
      </c>
      <c r="E160" s="64">
        <f>IF(ISERROR(A160),NA(),IF(B160=Пенсия!$E$5-1,Пенсия!$E$34)+IF(A160&lt;=Пенсия!$E$7,Пенсия!$E$24*D160,0))</f>
        <v>289518.70490554074</v>
      </c>
      <c r="F160" s="65">
        <f>IF(ISERROR(A160),NA(),IF(ISERROR(B160),0,IF(AND(B160&gt;=$E$29,B160&lt;($E$29+$E$32)),$E$30*(1+Пенсия!$E$31)^(B160-$E$29),0)))</f>
        <v>0</v>
      </c>
      <c r="G160" s="65">
        <f>IF(ISERROR(A160),NA(),IF(B160&gt;=Пенсия!$E$5,D160-F160,0))</f>
        <v>0</v>
      </c>
      <c r="H160" s="64">
        <f>IF(ISERROR(A160),NA(),FV(C160/Пенсия!$E$60,Пенсия!$E$60,-(E160)/Пенсия!$E$60,-(I159-G160*Пенсия!$E$61),0)-(I159+E160-G160*Пенсия!$E$61))</f>
        <v>901870.374259945</v>
      </c>
      <c r="I160" s="64">
        <f>IF(ISERROR(A160),NA(),I159+E160+H160-G160)</f>
        <v>16222561.983497897</v>
      </c>
      <c r="J160" s="2"/>
      <c r="K160" s="2"/>
      <c r="L160" s="2"/>
      <c r="M160" s="2"/>
    </row>
    <row r="161" spans="1:13" ht="12.75">
      <c r="A161" s="62">
        <f>IF(OR(I160&lt;0,A160&gt;=(Пенсия!$E$5-Пенсия!$E$4)+Пенсия!$E$6),NA(),A160+1)</f>
        <v>26</v>
      </c>
      <c r="B161" s="62">
        <f>IF(ISERROR(A161),NA(),Пенсия!$E$4+A161-1)</f>
        <v>50</v>
      </c>
      <c r="C161" s="63">
        <f>IF(ISERROR(A161),NA(),IF(B161&lt;Пенсия!$E$5,Пенсия!$E$10,Пенсия!$E$11))</f>
        <v>0.06</v>
      </c>
      <c r="D161" s="64">
        <f>IF(ISERROR(A161),NA(),IF(B161&gt;=Пенсия!$E$5,Пенсия!$E$16*(1+Пенсия!$E$12)^(B161-Пенсия!$E$5),(1+Пенсия!$E$23)*D160))</f>
        <v>2953090.7900365153</v>
      </c>
      <c r="E161" s="64">
        <f>IF(ISERROR(A161),NA(),IF(B161=Пенсия!$E$5-1,Пенсия!$E$34)+IF(A161&lt;=Пенсия!$E$7,Пенсия!$E$24*D161,0))</f>
        <v>295309.07900365157</v>
      </c>
      <c r="F161" s="65">
        <f>IF(ISERROR(A161),NA(),IF(ISERROR(B161),0,IF(AND(B161&gt;=$E$29,B161&lt;($E$29+$E$32)),$E$30*(1+Пенсия!$E$31)^(B161-$E$29),0)))</f>
        <v>0</v>
      </c>
      <c r="G161" s="65">
        <f>IF(ISERROR(A161),NA(),IF(B161&gt;=Пенсия!$E$5,D161-F161,0))</f>
        <v>0</v>
      </c>
      <c r="H161" s="64">
        <f>IF(ISERROR(A161),NA(),FV(C161/Пенсия!$E$60,Пенсия!$E$60,-(E161)/Пенсия!$E$60,-(I160-G161*Пенсия!$E$61),0)-(I160+E161-G161*Пенсия!$E$61))</f>
        <v>973353.7190098744</v>
      </c>
      <c r="I161" s="64">
        <f>IF(ISERROR(A161),NA(),I160+E161+H161-G161)</f>
        <v>17491224.781511422</v>
      </c>
      <c r="J161" s="2"/>
      <c r="K161" s="2"/>
      <c r="L161" s="2"/>
      <c r="M161" s="2"/>
    </row>
    <row r="162" spans="1:13" ht="12.75">
      <c r="A162" s="62">
        <f>IF(OR(I161&lt;0,A161&gt;=(Пенсия!$E$5-Пенсия!$E$4)+Пенсия!$E$6),NA(),A161+1)</f>
        <v>27</v>
      </c>
      <c r="B162" s="62">
        <f>IF(ISERROR(A162),NA(),Пенсия!$E$4+A162-1)</f>
        <v>51</v>
      </c>
      <c r="C162" s="63">
        <f>IF(ISERROR(A162),NA(),IF(B162&lt;Пенсия!$E$5,Пенсия!$E$10,Пенсия!$E$11))</f>
        <v>0.06</v>
      </c>
      <c r="D162" s="64">
        <f>IF(ISERROR(A162),NA(),IF(B162&gt;=Пенсия!$E$5,Пенсия!$E$16*(1+Пенсия!$E$12)^(B162-Пенсия!$E$5),(1+Пенсия!$E$23)*D161))</f>
        <v>3012152.6058372455</v>
      </c>
      <c r="E162" s="64">
        <f>IF(ISERROR(A162),NA(),IF(B162=Пенсия!$E$5-1,Пенсия!$E$34)+IF(A162&lt;=Пенсия!$E$7,Пенсия!$E$24*D162,0))</f>
        <v>301215.26058372454</v>
      </c>
      <c r="F162" s="65">
        <f>IF(ISERROR(A162),NA(),IF(ISERROR(B162),0,IF(AND(B162&gt;=$E$29,B162&lt;($E$29+$E$32)),$E$30*(1+Пенсия!$E$31)^(B162-$E$29),0)))</f>
        <v>0</v>
      </c>
      <c r="G162" s="65">
        <f>IF(ISERROR(A162),NA(),IF(B162&gt;=Пенсия!$E$5,D162-F162,0))</f>
        <v>0</v>
      </c>
      <c r="H162" s="64">
        <f>IF(ISERROR(A162),NA(),FV(C162/Пенсия!$E$60,Пенсия!$E$60,-(E162)/Пенсия!$E$60,-(I161-G162*Пенсия!$E$61),0)-(I161+E162-G162*Пенсия!$E$61))</f>
        <v>1049473.4868906848</v>
      </c>
      <c r="I162" s="64">
        <f>IF(ISERROR(A162),NA(),I161+E162+H162-G162)</f>
        <v>18841913.528985832</v>
      </c>
      <c r="J162" s="2"/>
      <c r="K162" s="2"/>
      <c r="L162" s="2"/>
      <c r="M162" s="2"/>
    </row>
    <row r="163" spans="1:13" ht="12.75">
      <c r="A163" s="62">
        <f>IF(OR(I162&lt;0,A162&gt;=(Пенсия!$E$5-Пенсия!$E$4)+Пенсия!$E$6),NA(),A162+1)</f>
        <v>28</v>
      </c>
      <c r="B163" s="62">
        <f>IF(ISERROR(A163),NA(),Пенсия!$E$4+A163-1)</f>
        <v>52</v>
      </c>
      <c r="C163" s="63">
        <f>IF(ISERROR(A163),NA(),IF(B163&lt;Пенсия!$E$5,Пенсия!$E$10,Пенсия!$E$11))</f>
        <v>0.06</v>
      </c>
      <c r="D163" s="64">
        <f>IF(ISERROR(A163),NA(),IF(B163&gt;=Пенсия!$E$5,Пенсия!$E$16*(1+Пенсия!$E$12)^(B163-Пенсия!$E$5),(1+Пенсия!$E$23)*D162))</f>
        <v>3072395.6579539906</v>
      </c>
      <c r="E163" s="64">
        <f>IF(ISERROR(A163),NA(),IF(B163=Пенсия!$E$5-1,Пенсия!$E$34)+IF(A163&lt;=Пенсия!$E$7,Пенсия!$E$24*D163,0))</f>
        <v>307239.5657953991</v>
      </c>
      <c r="F163" s="65">
        <f>IF(ISERROR(A163),NA(),IF(ISERROR(B163),0,IF(AND(B163&gt;=$E$29,B163&lt;($E$29+$E$32)),$E$30*(1+Пенсия!$E$31)^(B163-$E$29),0)))</f>
        <v>0</v>
      </c>
      <c r="G163" s="65">
        <f>IF(ISERROR(A163),NA(),IF(B163&gt;=Пенсия!$E$5,D163-F163,0))</f>
        <v>0</v>
      </c>
      <c r="H163" s="64">
        <f>IF(ISERROR(A163),NA(),FV(C163/Пенсия!$E$60,Пенсия!$E$60,-(E163)/Пенсия!$E$60,-(I162-G163*Пенсия!$E$61),0)-(I162+E163-G163*Пенсия!$E$61))</f>
        <v>1130514.8117391504</v>
      </c>
      <c r="I163" s="64">
        <f>IF(ISERROR(A163),NA(),I162+E163+H163-G163)</f>
        <v>20279667.90652038</v>
      </c>
      <c r="J163" s="2"/>
      <c r="K163" s="2"/>
      <c r="L163" s="2"/>
      <c r="M163" s="2"/>
    </row>
    <row r="164" spans="1:13" ht="12.75">
      <c r="A164" s="62">
        <f>IF(OR(I163&lt;0,A163&gt;=(Пенсия!$E$5-Пенсия!$E$4)+Пенсия!$E$6),NA(),A163+1)</f>
        <v>29</v>
      </c>
      <c r="B164" s="62">
        <f>IF(ISERROR(A164),NA(),Пенсия!$E$4+A164-1)</f>
        <v>53</v>
      </c>
      <c r="C164" s="63">
        <f>IF(ISERROR(A164),NA(),IF(B164&lt;Пенсия!$E$5,Пенсия!$E$10,Пенсия!$E$11))</f>
        <v>0.06</v>
      </c>
      <c r="D164" s="64">
        <f>IF(ISERROR(A164),NA(),IF(B164&gt;=Пенсия!$E$5,Пенсия!$E$16*(1+Пенсия!$E$12)^(B164-Пенсия!$E$5),(1+Пенсия!$E$23)*D163))</f>
        <v>3133843.5711130705</v>
      </c>
      <c r="E164" s="64">
        <f>IF(ISERROR(A164),NA(),IF(B164=Пенсия!$E$5-1,Пенсия!$E$34)+IF(A164&lt;=Пенсия!$E$7,Пенсия!$E$24*D164,0))</f>
        <v>313384.35711130704</v>
      </c>
      <c r="F164" s="65">
        <f>IF(ISERROR(A164),NA(),IF(ISERROR(B164),0,IF(AND(B164&gt;=$E$29,B164&lt;($E$29+$E$32)),$E$30*(1+Пенсия!$E$31)^(B164-$E$29),0)))</f>
        <v>0</v>
      </c>
      <c r="G164" s="65">
        <f>IF(ISERROR(A164),NA(),IF(B164&gt;=Пенсия!$E$5,D164-F164,0))</f>
        <v>0</v>
      </c>
      <c r="H164" s="64">
        <f>IF(ISERROR(A164),NA(),FV(C164/Пенсия!$E$60,Пенсия!$E$60,-(E164)/Пенсия!$E$60,-(I163-G164*Пенсия!$E$61),0)-(I163+E164-G164*Пенсия!$E$61))</f>
        <v>1216780.0743912235</v>
      </c>
      <c r="I164" s="64">
        <f>IF(ISERROR(A164),NA(),I163+E164+H164-G164)</f>
        <v>21809832.338022914</v>
      </c>
      <c r="J164" s="2"/>
      <c r="K164" s="2"/>
      <c r="L164" s="2"/>
      <c r="M164" s="2"/>
    </row>
    <row r="165" spans="1:13" ht="12.75">
      <c r="A165" s="62">
        <f>IF(OR(I164&lt;0,A164&gt;=(Пенсия!$E$5-Пенсия!$E$4)+Пенсия!$E$6),NA(),A164+1)</f>
        <v>30</v>
      </c>
      <c r="B165" s="62">
        <f>IF(ISERROR(A165),NA(),Пенсия!$E$4+A165-1)</f>
        <v>54</v>
      </c>
      <c r="C165" s="63">
        <f>IF(ISERROR(A165),NA(),IF(B165&lt;Пенсия!$E$5,Пенсия!$E$10,Пенсия!$E$11))</f>
        <v>0.06</v>
      </c>
      <c r="D165" s="64">
        <f>IF(ISERROR(A165),NA(),IF(B165&gt;=Пенсия!$E$5,Пенсия!$E$16*(1+Пенсия!$E$12)^(B165-Пенсия!$E$5),(1+Пенсия!$E$23)*D164))</f>
        <v>3196520.442535332</v>
      </c>
      <c r="E165" s="64">
        <f>IF(ISERROR(A165),NA(),IF(B165=Пенсия!$E$5-1,Пенсия!$E$34)+IF(A165&lt;=Пенсия!$E$7,Пенсия!$E$24*D165,0))</f>
        <v>319652.04425353324</v>
      </c>
      <c r="F165" s="65">
        <f>IF(ISERROR(A165),NA(),IF(ISERROR(B165),0,IF(AND(B165&gt;=$E$29,B165&lt;($E$29+$E$32)),$E$30*(1+Пенсия!$E$31)^(B165-$E$29),0)))</f>
        <v>0</v>
      </c>
      <c r="G165" s="65">
        <f>IF(ISERROR(A165),NA(),IF(B165&gt;=Пенсия!$E$5,D165-F165,0))</f>
        <v>0</v>
      </c>
      <c r="H165" s="64">
        <f>IF(ISERROR(A165),NA(),FV(C165/Пенсия!$E$60,Пенсия!$E$60,-(E165)/Пенсия!$E$60,-(I164-G165*Пенсия!$E$61),0)-(I164+E165-G165*Пенсия!$E$61))</f>
        <v>1308589.9402813762</v>
      </c>
      <c r="I165" s="64">
        <f>IF(ISERROR(A165),NA(),I164+E165+H165-G165)</f>
        <v>23438074.322557822</v>
      </c>
      <c r="J165" s="2"/>
      <c r="K165" s="2"/>
      <c r="L165" s="2"/>
      <c r="M165" s="2"/>
    </row>
    <row r="166" spans="1:13" ht="12.75">
      <c r="A166" s="62">
        <f>IF(OR(I165&lt;0,A165&gt;=(Пенсия!$E$5-Пенсия!$E$4)+Пенсия!$E$6),NA(),A165+1)</f>
        <v>31</v>
      </c>
      <c r="B166" s="62">
        <f>IF(ISERROR(A166),NA(),Пенсия!$E$4+A166-1)</f>
        <v>55</v>
      </c>
      <c r="C166" s="63">
        <f>IF(ISERROR(A166),NA(),IF(B166&lt;Пенсия!$E$5,Пенсия!$E$10,Пенсия!$E$11))</f>
        <v>0.06</v>
      </c>
      <c r="D166" s="64">
        <f>IF(ISERROR(A166),NA(),IF(B166&gt;=Пенсия!$E$5,Пенсия!$E$16*(1+Пенсия!$E$12)^(B166-Пенсия!$E$5),(1+Пенсия!$E$23)*D165))</f>
        <v>3260450.8513860386</v>
      </c>
      <c r="E166" s="64">
        <f>IF(ISERROR(A166),NA(),IF(B166=Пенсия!$E$5-1,Пенсия!$E$34)+IF(A166&lt;=Пенсия!$E$7,Пенсия!$E$24*D166,0))</f>
        <v>326045.08513860387</v>
      </c>
      <c r="F166" s="65">
        <f>IF(ISERROR(A166),NA(),IF(ISERROR(B166),0,IF(AND(B166&gt;=$E$29,B166&lt;($E$29+$E$32)),$E$30*(1+Пенсия!$E$31)^(B166-$E$29),0)))</f>
        <v>0</v>
      </c>
      <c r="G166" s="65">
        <f>IF(ISERROR(A166),NA(),IF(B166&gt;=Пенсия!$E$5,D166-F166,0))</f>
        <v>0</v>
      </c>
      <c r="H166" s="64">
        <f>IF(ISERROR(A166),NA(),FV(C166/Пенсия!$E$60,Пенсия!$E$60,-(E166)/Пенсия!$E$60,-(I165-G166*Пенсия!$E$61),0)-(I165+E166-G166*Пенсия!$E$61))</f>
        <v>1406284.4593534693</v>
      </c>
      <c r="I166" s="64">
        <f>IF(ISERROR(A166),NA(),I165+E166+H166-G166)</f>
        <v>25170403.867049895</v>
      </c>
      <c r="J166" s="2"/>
      <c r="K166" s="2"/>
      <c r="L166" s="2"/>
      <c r="M166" s="2"/>
    </row>
    <row r="167" spans="1:13" ht="12.75">
      <c r="A167" s="62">
        <f>IF(OR(I166&lt;0,A166&gt;=(Пенсия!$E$5-Пенсия!$E$4)+Пенсия!$E$6),NA(),A166+1)</f>
        <v>32</v>
      </c>
      <c r="B167" s="62">
        <f>IF(ISERROR(A167),NA(),Пенсия!$E$4+A167-1)</f>
        <v>56</v>
      </c>
      <c r="C167" s="63">
        <f>IF(ISERROR(A167),NA(),IF(B167&lt;Пенсия!$E$5,Пенсия!$E$10,Пенсия!$E$11))</f>
        <v>0.06</v>
      </c>
      <c r="D167" s="64">
        <f>IF(ISERROR(A167),NA(),IF(B167&gt;=Пенсия!$E$5,Пенсия!$E$16*(1+Пенсия!$E$12)^(B167-Пенсия!$E$5),(1+Пенсия!$E$23)*D166))</f>
        <v>3325659.8684137594</v>
      </c>
      <c r="E167" s="64">
        <f>IF(ISERROR(A167),NA(),IF(B167=Пенсия!$E$5-1,Пенсия!$E$34)+IF(A167&lt;=Пенсия!$E$7,Пенсия!$E$24*D167,0))</f>
        <v>332565.98684137594</v>
      </c>
      <c r="F167" s="65">
        <f>IF(ISERROR(A167),NA(),IF(ISERROR(B167),0,IF(AND(B167&gt;=$E$29,B167&lt;($E$29+$E$32)),$E$30*(1+Пенсия!$E$31)^(B167-$E$29),0)))</f>
        <v>0</v>
      </c>
      <c r="G167" s="65">
        <f>IF(ISERROR(A167),NA(),IF(B167&gt;=Пенсия!$E$5,D167-F167,0))</f>
        <v>0</v>
      </c>
      <c r="H167" s="64">
        <f>IF(ISERROR(A167),NA(),FV(C167/Пенсия!$E$60,Пенсия!$E$60,-(E167)/Пенсия!$E$60,-(I166-G167*Пенсия!$E$61),0)-(I166+E167-G167*Пенсия!$E$61))</f>
        <v>1510224.2320229933</v>
      </c>
      <c r="I167" s="64">
        <f>IF(ISERROR(A167),NA(),I166+E167+H167-G167)</f>
        <v>27013194.085914265</v>
      </c>
      <c r="J167" s="2"/>
      <c r="K167" s="2"/>
      <c r="L167" s="2"/>
      <c r="M167" s="2"/>
    </row>
    <row r="168" spans="1:13" ht="12.75">
      <c r="A168" s="62">
        <f>IF(OR(I167&lt;0,A167&gt;=(Пенсия!$E$5-Пенсия!$E$4)+Пенсия!$E$6),NA(),A167+1)</f>
        <v>33</v>
      </c>
      <c r="B168" s="62">
        <f>IF(ISERROR(A168),NA(),Пенсия!$E$4+A168-1)</f>
        <v>57</v>
      </c>
      <c r="C168" s="63">
        <f>IF(ISERROR(A168),NA(),IF(B168&lt;Пенсия!$E$5,Пенсия!$E$10,Пенсия!$E$11))</f>
        <v>0.06</v>
      </c>
      <c r="D168" s="64">
        <f>IF(ISERROR(A168),NA(),IF(B168&gt;=Пенсия!$E$5,Пенсия!$E$16*(1+Пенсия!$E$12)^(B168-Пенсия!$E$5),(1+Пенсия!$E$23)*D167))</f>
        <v>3392173.065782035</v>
      </c>
      <c r="E168" s="64">
        <f>IF(ISERROR(A168),NA(),IF(B168=Пенсия!$E$5-1,Пенсия!$E$34)+IF(A168&lt;=Пенсия!$E$7,Пенсия!$E$24*D168,0))</f>
        <v>339217.3065782035</v>
      </c>
      <c r="F168" s="65">
        <f>IF(ISERROR(A168),NA(),IF(ISERROR(B168),0,IF(AND(B168&gt;=$E$29,B168&lt;($E$29+$E$32)),$E$30*(1+Пенсия!$E$31)^(B168-$E$29),0)))</f>
        <v>0</v>
      </c>
      <c r="G168" s="65">
        <f>IF(ISERROR(A168),NA(),IF(B168&gt;=Пенсия!$E$5,D168-F168,0))</f>
        <v>0</v>
      </c>
      <c r="H168" s="64">
        <f>IF(ISERROR(A168),NA(),FV(C168/Пенсия!$E$60,Пенсия!$E$60,-(E168)/Пенсия!$E$60,-(I167-G168*Пенсия!$E$61),0)-(I167+E168-G168*Пенсия!$E$61))</f>
        <v>1620791.6451548561</v>
      </c>
      <c r="I168" s="64">
        <f>IF(ISERROR(A168),NA(),I167+E168+H168-G168)</f>
        <v>28973203.037647326</v>
      </c>
      <c r="J168" s="2"/>
      <c r="K168" s="2"/>
      <c r="L168" s="2"/>
      <c r="M168" s="2"/>
    </row>
    <row r="169" spans="1:13" ht="12.75">
      <c r="A169" s="62">
        <f>IF(OR(I168&lt;0,A168&gt;=(Пенсия!$E$5-Пенсия!$E$4)+Пенсия!$E$6),NA(),A168+1)</f>
        <v>34</v>
      </c>
      <c r="B169" s="62">
        <f>IF(ISERROR(A169),NA(),Пенсия!$E$4+A169-1)</f>
        <v>58</v>
      </c>
      <c r="C169" s="63">
        <f>IF(ISERROR(A169),NA(),IF(B169&lt;Пенсия!$E$5,Пенсия!$E$10,Пенсия!$E$11))</f>
        <v>0.06</v>
      </c>
      <c r="D169" s="64">
        <f>IF(ISERROR(A169),NA(),IF(B169&gt;=Пенсия!$E$5,Пенсия!$E$16*(1+Пенсия!$E$12)^(B169-Пенсия!$E$5),(1+Пенсия!$E$23)*D168))</f>
        <v>3460016.5270976755</v>
      </c>
      <c r="E169" s="64">
        <f>IF(ISERROR(A169),NA(),IF(B169=Пенсия!$E$5-1,Пенсия!$E$34)+IF(A169&lt;=Пенсия!$E$7,Пенсия!$E$24*D169,0))</f>
        <v>346001.6527097676</v>
      </c>
      <c r="F169" s="65">
        <f>IF(ISERROR(A169),NA(),IF(ISERROR(B169),0,IF(AND(B169&gt;=$E$29,B169&lt;($E$29+$E$32)),$E$30*(1+Пенсия!$E$31)^(B169-$E$29),0)))</f>
        <v>0</v>
      </c>
      <c r="G169" s="65">
        <f>IF(ISERROR(A169),NA(),IF(B169&gt;=Пенсия!$E$5,D169-F169,0))</f>
        <v>0</v>
      </c>
      <c r="H169" s="64">
        <f>IF(ISERROR(A169),NA(),FV(C169/Пенсия!$E$60,Пенсия!$E$60,-(E169)/Пенсия!$E$60,-(I168-G169*Пенсия!$E$61),0)-(I168+E169-G169*Пенсия!$E$61))</f>
        <v>1738392.1822588407</v>
      </c>
      <c r="I169" s="64">
        <f>IF(ISERROR(A169),NA(),I168+E169+H169-G169)</f>
        <v>31057596.872615933</v>
      </c>
      <c r="J169" s="2"/>
      <c r="K169" s="2"/>
      <c r="L169" s="2"/>
      <c r="M169" s="2"/>
    </row>
    <row r="170" spans="1:13" ht="12.75">
      <c r="A170" s="62">
        <f>IF(OR(I169&lt;0,A169&gt;=(Пенсия!$E$5-Пенсия!$E$4)+Пенсия!$E$6),NA(),A169+1)</f>
        <v>35</v>
      </c>
      <c r="B170" s="62">
        <f>IF(ISERROR(A170),NA(),Пенсия!$E$4+A170-1)</f>
        <v>59</v>
      </c>
      <c r="C170" s="63">
        <f>IF(ISERROR(A170),NA(),IF(B170&lt;Пенсия!$E$5,Пенсия!$E$10,Пенсия!$E$11))</f>
        <v>0.06</v>
      </c>
      <c r="D170" s="64">
        <f>IF(ISERROR(A170),NA(),IF(B170&gt;=Пенсия!$E$5,Пенсия!$E$16*(1+Пенсия!$E$12)^(B170-Пенсия!$E$5),(1+Пенсия!$E$23)*D169))</f>
        <v>3529216.857639629</v>
      </c>
      <c r="E170" s="64">
        <f>IF(ISERROR(A170),NA(),IF(B170=Пенсия!$E$5-1,Пенсия!$E$34)+IF(A170&lt;=Пенсия!$E$7,Пенсия!$E$24*D170,0))</f>
        <v>352921.6857639629</v>
      </c>
      <c r="F170" s="65">
        <f>IF(ISERROR(A170),NA(),IF(ISERROR(B170),0,IF(AND(B170&gt;=$E$29,B170&lt;($E$29+$E$32)),$E$30*(1+Пенсия!$E$31)^(B170-$E$29),0)))</f>
        <v>0</v>
      </c>
      <c r="G170" s="65">
        <f>IF(ISERROR(A170),NA(),IF(B170&gt;=Пенсия!$E$5,D170-F170,0))</f>
        <v>0</v>
      </c>
      <c r="H170" s="64">
        <f>IF(ISERROR(A170),NA(),FV(C170/Пенсия!$E$60,Пенсия!$E$60,-(E170)/Пенсия!$E$60,-(I169-G170*Пенсия!$E$61),0)-(I169+E170-G170*Пенсия!$E$61))</f>
        <v>1863455.8123569563</v>
      </c>
      <c r="I170" s="64">
        <f>IF(ISERROR(A170),NA(),I169+E170+H170-G170)</f>
        <v>33273974.370736852</v>
      </c>
      <c r="J170" s="2"/>
      <c r="K170" s="2"/>
      <c r="L170" s="2"/>
      <c r="M170" s="2"/>
    </row>
    <row r="171" spans="1:13" ht="12.75">
      <c r="A171" s="62">
        <f>IF(OR(I170&lt;0,A170&gt;=(Пенсия!$E$5-Пенсия!$E$4)+Пенсия!$E$6),NA(),A170+1)</f>
        <v>36</v>
      </c>
      <c r="B171" s="62">
        <f>IF(ISERROR(A171),NA(),Пенсия!$E$4+A171-1)</f>
        <v>60</v>
      </c>
      <c r="C171" s="63">
        <f>IF(ISERROR(A171),NA(),IF(B171&lt;Пенсия!$E$5,Пенсия!$E$10,Пенсия!$E$11))</f>
        <v>0.06</v>
      </c>
      <c r="D171" s="64">
        <f>IF(ISERROR(A171),NA(),IF(B171&gt;=Пенсия!$E$5,Пенсия!$E$16*(1+Пенсия!$E$12)^(B171-Пенсия!$E$5),(1+Пенсия!$E$23)*D170))</f>
        <v>3599801.1947924215</v>
      </c>
      <c r="E171" s="64">
        <f>IF(ISERROR(A171),NA(),IF(B171=Пенсия!$E$5-1,Пенсия!$E$34)+IF(A171&lt;=Пенсия!$E$7,Пенсия!$E$24*D171,0))</f>
        <v>359980.1194792422</v>
      </c>
      <c r="F171" s="65">
        <f>IF(ISERROR(A171),NA(),IF(ISERROR(B171),0,IF(AND(B171&gt;=$E$29,B171&lt;($E$29+$E$32)),$E$30*(1+Пенсия!$E$31)^(B171-$E$29),0)))</f>
        <v>0</v>
      </c>
      <c r="G171" s="65">
        <f>IF(ISERROR(A171),NA(),IF(B171&gt;=Пенсия!$E$5,D171-F171,0))</f>
        <v>0</v>
      </c>
      <c r="H171" s="64">
        <f>IF(ISERROR(A171),NA(),FV(C171/Пенсия!$E$60,Пенсия!$E$60,-(E171)/Пенсия!$E$60,-(I170-G171*Пенсия!$E$61),0)-(I170+E171-G171*Пенсия!$E$61))</f>
        <v>1996438.4622442126</v>
      </c>
      <c r="I171" s="64">
        <f>IF(ISERROR(A171),NA(),I170+E171+H171-G171)</f>
        <v>35630392.952460304</v>
      </c>
      <c r="J171" s="2"/>
      <c r="K171" s="2"/>
      <c r="L171" s="2"/>
      <c r="M171" s="2"/>
    </row>
    <row r="172" spans="1:13" ht="12.75">
      <c r="A172" s="62">
        <f>IF(OR(I171&lt;0,A171&gt;=(Пенсия!$E$5-Пенсия!$E$4)+Пенсия!$E$6),NA(),A171+1)</f>
        <v>37</v>
      </c>
      <c r="B172" s="62">
        <f>IF(ISERROR(A172),NA(),Пенсия!$E$4+A172-1)</f>
        <v>61</v>
      </c>
      <c r="C172" s="63">
        <f>IF(ISERROR(A172),NA(),IF(B172&lt;Пенсия!$E$5,Пенсия!$E$10,Пенсия!$E$11))</f>
        <v>0.06</v>
      </c>
      <c r="D172" s="64">
        <f>IF(ISERROR(A172),NA(),IF(B172&gt;=Пенсия!$E$5,Пенсия!$E$16*(1+Пенсия!$E$12)^(B172-Пенсия!$E$5),(1+Пенсия!$E$23)*D171))</f>
        <v>3671797.21868827</v>
      </c>
      <c r="E172" s="64">
        <f>IF(ISERROR(A172),NA(),IF(B172=Пенсия!$E$5-1,Пенсия!$E$34)+IF(A172&lt;=Пенсия!$E$7,Пенсия!$E$24*D172,0))</f>
        <v>367179.721868827</v>
      </c>
      <c r="F172" s="65">
        <f>IF(ISERROR(A172),NA(),IF(ISERROR(B172),0,IF(AND(B172&gt;=$E$29,B172&lt;($E$29+$E$32)),$E$30*(1+Пенсия!$E$31)^(B172-$E$29),0)))</f>
        <v>0</v>
      </c>
      <c r="G172" s="65">
        <f>IF(ISERROR(A172),NA(),IF(B172&gt;=Пенсия!$E$5,D172-F172,0))</f>
        <v>0</v>
      </c>
      <c r="H172" s="64">
        <f>IF(ISERROR(A172),NA(),FV(C172/Пенсия!$E$60,Пенсия!$E$60,-(E172)/Пенсия!$E$60,-(I171-G172*Пенсия!$E$61),0)-(I171+E172-G172*Пенсия!$E$61))</f>
        <v>2137823.577147618</v>
      </c>
      <c r="I172" s="64">
        <f>IF(ISERROR(A172),NA(),I171+E172+H172-G172)</f>
        <v>38135396.25147675</v>
      </c>
      <c r="J172" s="2"/>
      <c r="K172" s="2"/>
      <c r="L172" s="2"/>
      <c r="M172" s="2"/>
    </row>
    <row r="173" spans="1:13" ht="12.75">
      <c r="A173" s="62">
        <f>IF(OR(I172&lt;0,A172&gt;=(Пенсия!$E$5-Пенсия!$E$4)+Пенсия!$E$6),NA(),A172+1)</f>
        <v>38</v>
      </c>
      <c r="B173" s="62">
        <f>IF(ISERROR(A173),NA(),Пенсия!$E$4+A173-1)</f>
        <v>62</v>
      </c>
      <c r="C173" s="63">
        <f>IF(ISERROR(A173),NA(),IF(B173&lt;Пенсия!$E$5,Пенсия!$E$10,Пенсия!$E$11))</f>
        <v>0.06</v>
      </c>
      <c r="D173" s="64">
        <f>IF(ISERROR(A173),NA(),IF(B173&gt;=Пенсия!$E$5,Пенсия!$E$16*(1+Пенсия!$E$12)^(B173-Пенсия!$E$5),(1+Пенсия!$E$23)*D172))</f>
        <v>3745233.1630620356</v>
      </c>
      <c r="E173" s="64">
        <f>IF(ISERROR(A173),NA(),IF(B173=Пенсия!$E$5-1,Пенсия!$E$34)+IF(A173&lt;=Пенсия!$E$7,Пенсия!$E$24*D173,0))</f>
        <v>374523.3163062036</v>
      </c>
      <c r="F173" s="65">
        <f>IF(ISERROR(A173),NA(),IF(ISERROR(B173),0,IF(AND(B173&gt;=$E$29,B173&lt;($E$29+$E$32)),$E$30*(1+Пенсия!$E$31)^(B173-$E$29),0)))</f>
        <v>0</v>
      </c>
      <c r="G173" s="65">
        <f>IF(ISERROR(A173),NA(),IF(B173&gt;=Пенсия!$E$5,D173-F173,0))</f>
        <v>0</v>
      </c>
      <c r="H173" s="64">
        <f>IF(ISERROR(A173),NA(),FV(C173/Пенсия!$E$60,Пенсия!$E$60,-(E173)/Пенсия!$E$60,-(I172-G173*Пенсия!$E$61),0)-(I172+E173-G173*Пенсия!$E$61))</f>
        <v>2288123.7750886083</v>
      </c>
      <c r="I173" s="64">
        <f>IF(ISERROR(A173),NA(),I172+E173+H173-G173)</f>
        <v>40798043.34287156</v>
      </c>
      <c r="J173" s="2"/>
      <c r="K173" s="2"/>
      <c r="L173" s="2"/>
      <c r="M173" s="2"/>
    </row>
    <row r="174" spans="1:13" ht="12.75">
      <c r="A174" s="62">
        <f>IF(OR(I173&lt;0,A173&gt;=(Пенсия!$E$5-Пенсия!$E$4)+Пенсия!$E$6),NA(),A173+1)</f>
        <v>39</v>
      </c>
      <c r="B174" s="62">
        <f>IF(ISERROR(A174),NA(),Пенсия!$E$4+A174-1)</f>
        <v>63</v>
      </c>
      <c r="C174" s="63">
        <f>IF(ISERROR(A174),NA(),IF(B174&lt;Пенсия!$E$5,Пенсия!$E$10,Пенсия!$E$11))</f>
        <v>0.06</v>
      </c>
      <c r="D174" s="64">
        <f>IF(ISERROR(A174),NA(),IF(B174&gt;=Пенсия!$E$5,Пенсия!$E$16*(1+Пенсия!$E$12)^(B174-Пенсия!$E$5),(1+Пенсия!$E$23)*D173))</f>
        <v>3820137.8263232764</v>
      </c>
      <c r="E174" s="64">
        <f>IF(ISERROR(A174),NA(),IF(B174=Пенсия!$E$5-1,Пенсия!$E$34)+IF(A174&lt;=Пенсия!$E$7,Пенсия!$E$24*D174,0))</f>
        <v>382013.78263232764</v>
      </c>
      <c r="F174" s="65">
        <f>IF(ISERROR(A174),NA(),IF(ISERROR(B174),0,IF(AND(B174&gt;=$E$29,B174&lt;($E$29+$E$32)),$E$30*(1+Пенсия!$E$31)^(B174-$E$29),0)))</f>
        <v>0</v>
      </c>
      <c r="G174" s="65">
        <f>IF(ISERROR(A174),NA(),IF(B174&gt;=Пенсия!$E$5,D174-F174,0))</f>
        <v>0</v>
      </c>
      <c r="H174" s="64">
        <f>IF(ISERROR(A174),NA(),FV(C174/Пенсия!$E$60,Пенсия!$E$60,-(E174)/Пенсия!$E$60,-(I173-G174*Пенсия!$E$61),0)-(I173+E174-G174*Пенсия!$E$61))</f>
        <v>2447882.6005722955</v>
      </c>
      <c r="I174" s="64">
        <f>IF(ISERROR(A174),NA(),I173+E174+H174-G174)</f>
        <v>43627939.726076186</v>
      </c>
      <c r="J174" s="2"/>
      <c r="K174" s="2"/>
      <c r="L174" s="2"/>
      <c r="M174" s="2"/>
    </row>
    <row r="175" spans="1:13" ht="12.75">
      <c r="A175" s="62">
        <f>IF(OR(I174&lt;0,A174&gt;=(Пенсия!$E$5-Пенсия!$E$4)+Пенсия!$E$6),NA(),A174+1)</f>
        <v>40</v>
      </c>
      <c r="B175" s="62">
        <f>IF(ISERROR(A175),NA(),Пенсия!$E$4+A175-1)</f>
        <v>64</v>
      </c>
      <c r="C175" s="63">
        <f>IF(ISERROR(A175),NA(),IF(B175&lt;Пенсия!$E$5,Пенсия!$E$10,Пенсия!$E$11))</f>
        <v>0.06</v>
      </c>
      <c r="D175" s="64">
        <f>IF(ISERROR(A175),NA(),IF(B175&gt;=Пенсия!$E$5,Пенсия!$E$16*(1+Пенсия!$E$12)^(B175-Пенсия!$E$5),(1+Пенсия!$E$23)*D174))</f>
        <v>3896540.582849742</v>
      </c>
      <c r="E175" s="64">
        <f>IF(ISERROR(A175),NA(),IF(B175=Пенсия!$E$5-1,Пенсия!$E$34)+IF(A175&lt;=Пенсия!$E$7,Пенсия!$E$24*D175,0))</f>
        <v>389654.0582849742</v>
      </c>
      <c r="F175" s="65">
        <f>IF(ISERROR(A175),NA(),IF(ISERROR(B175),0,IF(AND(B175&gt;=$E$29,B175&lt;($E$29+$E$32)),$E$30*(1+Пенсия!$E$31)^(B175-$E$29),0)))</f>
        <v>0</v>
      </c>
      <c r="G175" s="65">
        <f>IF(ISERROR(A175),NA(),IF(B175&gt;=Пенсия!$E$5,D175-F175,0))</f>
        <v>0</v>
      </c>
      <c r="H175" s="64">
        <f>IF(ISERROR(A175),NA(),FV(C175/Пенсия!$E$60,Пенсия!$E$60,-(E175)/Пенсия!$E$60,-(I174-G175*Пенсия!$E$61),0)-(I174+E175-G175*Пенсия!$E$61))</f>
        <v>2617676.3835645765</v>
      </c>
      <c r="I175" s="64">
        <f>IF(ISERROR(A175),NA(),I174+E175+H175-G175)</f>
        <v>46635270.16792574</v>
      </c>
      <c r="J175" s="2"/>
      <c r="K175" s="2"/>
      <c r="L175" s="2"/>
      <c r="M175" s="2"/>
    </row>
    <row r="176" spans="1:13" ht="12.75">
      <c r="A176" s="62">
        <f>IF(OR(I175&lt;0,A175&gt;=(Пенсия!$E$5-Пенсия!$E$4)+Пенсия!$E$6),NA(),A175+1)</f>
        <v>41</v>
      </c>
      <c r="B176" s="62">
        <f>IF(ISERROR(A176),NA(),Пенсия!$E$4+A176-1)</f>
        <v>65</v>
      </c>
      <c r="C176" s="63">
        <f>IF(ISERROR(A176),NA(),IF(B176&lt;Пенсия!$E$5,Пенсия!$E$10,Пенсия!$E$11))</f>
        <v>0.03</v>
      </c>
      <c r="D176" s="64">
        <f>IF(ISERROR(A176),NA(),IF(B176&gt;=Пенсия!$E$5,Пенсия!$E$16*(1+Пенсия!$E$12)^(B176-Пенсия!$E$5),(1+Пенсия!$E$23)*D175))</f>
        <v>3523000.815358998</v>
      </c>
      <c r="E176" s="64">
        <f>IF(ISERROR(A176),NA(),IF(B176=Пенсия!$E$5-1,Пенсия!$E$34)+IF(A176&lt;=Пенсия!$E$7,Пенсия!$E$24*D176,0))</f>
        <v>0</v>
      </c>
      <c r="F176" s="65">
        <f>IF(ISERROR(A176),NA(),IF(ISERROR(B176),0,IF(AND(B176&gt;=$E$29,B176&lt;($E$29+$E$32)),$E$30*(1+Пенсия!$E$31)^(B176-$E$29),0)))</f>
        <v>120000</v>
      </c>
      <c r="G176" s="65">
        <f>IF(ISERROR(A176),NA(),IF(B176&gt;=Пенсия!$E$5,D176-F176,0))</f>
        <v>3403000.815358998</v>
      </c>
      <c r="H176" s="64">
        <f>IF(ISERROR(A176),NA(),FV(C176/Пенсия!$E$60,Пенсия!$E$60,-(E176)/Пенсия!$E$60,-(I175-G176*Пенсия!$E$61),0)-(I175+E176-G176*Пенсия!$E$61))</f>
        <v>1296968.080577001</v>
      </c>
      <c r="I176" s="64">
        <f>IF(ISERROR(A176),NA(),I175+E176+H176-G176)</f>
        <v>44529237.43314374</v>
      </c>
      <c r="J176" s="2"/>
      <c r="K176" s="2"/>
      <c r="L176" s="2"/>
      <c r="M176" s="2"/>
    </row>
    <row r="177" spans="1:13" ht="12.75">
      <c r="A177" s="62">
        <f>IF(OR(I176&lt;0,A176&gt;=(Пенсия!$E$5-Пенсия!$E$4)+Пенсия!$E$6),NA(),A176+1)</f>
        <v>42</v>
      </c>
      <c r="B177" s="62">
        <f>IF(ISERROR(A177),NA(),Пенсия!$E$4+A177-1)</f>
        <v>66</v>
      </c>
      <c r="C177" s="63">
        <f>IF(ISERROR(A177),NA(),IF(B177&lt;Пенсия!$E$5,Пенсия!$E$10,Пенсия!$E$11))</f>
        <v>0.03</v>
      </c>
      <c r="D177" s="64">
        <f>IF(ISERROR(A177),NA(),IF(B177&gt;=Пенсия!$E$5,Пенсия!$E$16*(1+Пенсия!$E$12)^(B177-Пенсия!$E$5),(1+Пенсия!$E$23)*D176))</f>
        <v>3628690.839819768</v>
      </c>
      <c r="E177" s="64">
        <f>IF(ISERROR(A177),NA(),IF(B177=Пенсия!$E$5-1,Пенсия!$E$34)+IF(A177&lt;=Пенсия!$E$7,Пенсия!$E$24*D177,0))</f>
        <v>0</v>
      </c>
      <c r="F177" s="65">
        <f>IF(ISERROR(A177),NA(),IF(ISERROR(B177),0,IF(AND(B177&gt;=$E$29,B177&lt;($E$29+$E$32)),$E$30*(1+Пенсия!$E$31)^(B177-$E$29),0)))</f>
        <v>123600</v>
      </c>
      <c r="G177" s="65">
        <f>IF(ISERROR(A177),NA(),IF(B177&gt;=Пенсия!$E$5,D177-F177,0))</f>
        <v>3505090.839819768</v>
      </c>
      <c r="H177" s="64">
        <f>IF(ISERROR(A177),NA(),FV(C177/Пенсия!$E$60,Пенсия!$E$60,-(E177)/Пенсия!$E$60,-(I176-G177*Пенсия!$E$61),0)-(I176+E177-G177*Пенсия!$E$61))</f>
        <v>1230724.3977997229</v>
      </c>
      <c r="I177" s="64">
        <f>IF(ISERROR(A177),NA(),I176+E177+H177-G177)</f>
        <v>42254870.9911237</v>
      </c>
      <c r="J177" s="2"/>
      <c r="K177" s="2"/>
      <c r="L177" s="2"/>
      <c r="M177" s="2"/>
    </row>
    <row r="178" spans="1:13" ht="12.75">
      <c r="A178" s="62">
        <f>IF(OR(I177&lt;0,A177&gt;=(Пенсия!$E$5-Пенсия!$E$4)+Пенсия!$E$6),NA(),A177+1)</f>
        <v>43</v>
      </c>
      <c r="B178" s="62">
        <f>IF(ISERROR(A178),NA(),Пенсия!$E$4+A178-1)</f>
        <v>67</v>
      </c>
      <c r="C178" s="63">
        <f>IF(ISERROR(A178),NA(),IF(B178&lt;Пенсия!$E$5,Пенсия!$E$10,Пенсия!$E$11))</f>
        <v>0.03</v>
      </c>
      <c r="D178" s="64">
        <f>IF(ISERROR(A178),NA(),IF(B178&gt;=Пенсия!$E$5,Пенсия!$E$16*(1+Пенсия!$E$12)^(B178-Пенсия!$E$5),(1+Пенсия!$E$23)*D177))</f>
        <v>3737551.5650143605</v>
      </c>
      <c r="E178" s="64">
        <f>IF(ISERROR(A178),NA(),IF(B178=Пенсия!$E$5-1,Пенсия!$E$34)+IF(A178&lt;=Пенсия!$E$7,Пенсия!$E$24*D178,0))</f>
        <v>0</v>
      </c>
      <c r="F178" s="65">
        <f>IF(ISERROR(A178),NA(),IF(ISERROR(B178),0,IF(AND(B178&gt;=$E$29,B178&lt;($E$29+$E$32)),$E$30*(1+Пенсия!$E$31)^(B178-$E$29),0)))</f>
        <v>127308</v>
      </c>
      <c r="G178" s="65">
        <f>IF(ISERROR(A178),NA(),IF(B178&gt;=Пенсия!$E$5,D178-F178,0))</f>
        <v>3610243.5650143605</v>
      </c>
      <c r="H178" s="64">
        <f>IF(ISERROR(A178),NA(),FV(C178/Пенсия!$E$60,Пенсия!$E$60,-(E178)/Пенсия!$E$60,-(I177-G178*Пенсия!$E$61),0)-(I177+E178-G178*Пенсия!$E$61))</f>
        <v>1159338.822783284</v>
      </c>
      <c r="I178" s="64">
        <f>IF(ISERROR(A178),NA(),I177+E178+H178-G178)</f>
        <v>39803966.24889262</v>
      </c>
      <c r="J178" s="2"/>
      <c r="K178" s="2"/>
      <c r="L178" s="2"/>
      <c r="M178" s="2"/>
    </row>
    <row r="179" spans="1:13" ht="12.75">
      <c r="A179" s="62">
        <f>IF(OR(I178&lt;0,A178&gt;=(Пенсия!$E$5-Пенсия!$E$4)+Пенсия!$E$6),NA(),A178+1)</f>
        <v>44</v>
      </c>
      <c r="B179" s="62">
        <f>IF(ISERROR(A179),NA(),Пенсия!$E$4+A179-1)</f>
        <v>68</v>
      </c>
      <c r="C179" s="63">
        <f>IF(ISERROR(A179),NA(),IF(B179&lt;Пенсия!$E$5,Пенсия!$E$10,Пенсия!$E$11))</f>
        <v>0.03</v>
      </c>
      <c r="D179" s="64">
        <f>IF(ISERROR(A179),NA(),IF(B179&gt;=Пенсия!$E$5,Пенсия!$E$16*(1+Пенсия!$E$12)^(B179-Пенсия!$E$5),(1+Пенсия!$E$23)*D178))</f>
        <v>3849678.1119647915</v>
      </c>
      <c r="E179" s="64">
        <f>IF(ISERROR(A179),NA(),IF(B179=Пенсия!$E$5-1,Пенсия!$E$34)+IF(A179&lt;=Пенсия!$E$7,Пенсия!$E$24*D179,0))</f>
        <v>0</v>
      </c>
      <c r="F179" s="65">
        <f>IF(ISERROR(A179),NA(),IF(ISERROR(B179),0,IF(AND(B179&gt;=$E$29,B179&lt;($E$29+$E$32)),$E$30*(1+Пенсия!$E$31)^(B179-$E$29),0)))</f>
        <v>131127.24</v>
      </c>
      <c r="G179" s="65">
        <f>IF(ISERROR(A179),NA(),IF(B179&gt;=Пенсия!$E$5,D179-F179,0))</f>
        <v>3718550.871964792</v>
      </c>
      <c r="H179" s="64">
        <f>IF(ISERROR(A179),NA(),FV(C179/Пенсия!$E$60,Пенсия!$E$60,-(E179)/Пенсия!$E$60,-(I178-G179*Пенсия!$E$61),0)-(I178+E179-G179*Пенсия!$E$61))</f>
        <v>1082562.4613078386</v>
      </c>
      <c r="I179" s="64">
        <f>IF(ISERROR(A179),NA(),I178+E179+H179-G179)</f>
        <v>37167977.83823567</v>
      </c>
      <c r="J179" s="2"/>
      <c r="K179" s="2"/>
      <c r="L179" s="2"/>
      <c r="M179" s="2"/>
    </row>
    <row r="180" spans="1:13" ht="12.75">
      <c r="A180" s="62">
        <f>IF(OR(I179&lt;0,A179&gt;=(Пенсия!$E$5-Пенсия!$E$4)+Пенсия!$E$6),NA(),A179+1)</f>
        <v>45</v>
      </c>
      <c r="B180" s="62">
        <f>IF(ISERROR(A180),NA(),Пенсия!$E$4+A180-1)</f>
        <v>69</v>
      </c>
      <c r="C180" s="63">
        <f>IF(ISERROR(A180),NA(),IF(B180&lt;Пенсия!$E$5,Пенсия!$E$10,Пенсия!$E$11))</f>
        <v>0.03</v>
      </c>
      <c r="D180" s="64">
        <f>IF(ISERROR(A180),NA(),IF(B180&gt;=Пенсия!$E$5,Пенсия!$E$16*(1+Пенсия!$E$12)^(B180-Пенсия!$E$5),(1+Пенсия!$E$23)*D179))</f>
        <v>3965168.4553237353</v>
      </c>
      <c r="E180" s="64">
        <f>IF(ISERROR(A180),NA(),IF(B180=Пенсия!$E$5-1,Пенсия!$E$34)+IF(A180&lt;=Пенсия!$E$7,Пенсия!$E$24*D180,0))</f>
        <v>0</v>
      </c>
      <c r="F180" s="65">
        <f>IF(ISERROR(A180),NA(),IF(ISERROR(B180),0,IF(AND(B180&gt;=$E$29,B180&lt;($E$29+$E$32)),$E$30*(1+Пенсия!$E$31)^(B180-$E$29),0)))</f>
        <v>135061.05719999998</v>
      </c>
      <c r="G180" s="65">
        <f>IF(ISERROR(A180),NA(),IF(B180&gt;=Пенсия!$E$5,D180-F180,0))</f>
        <v>3830107.398123735</v>
      </c>
      <c r="H180" s="64">
        <f>IF(ISERROR(A180),NA(),FV(C180/Пенсия!$E$60,Пенсия!$E$60,-(E180)/Пенсия!$E$60,-(I179-G180*Пенсия!$E$61),0)-(I179+E180-G180*Пенсия!$E$61))</f>
        <v>1000136.1132033616</v>
      </c>
      <c r="I180" s="64">
        <f>IF(ISERROR(A180),NA(),I179+E180+H180-G180)</f>
        <v>34338006.5533153</v>
      </c>
      <c r="J180" s="2"/>
      <c r="K180" s="2"/>
      <c r="L180" s="2"/>
      <c r="M180" s="2"/>
    </row>
    <row r="181" spans="1:13" ht="12.75">
      <c r="A181" s="62">
        <f>IF(OR(I180&lt;0,A180&gt;=(Пенсия!$E$5-Пенсия!$E$4)+Пенсия!$E$6),NA(),A180+1)</f>
        <v>46</v>
      </c>
      <c r="B181" s="62">
        <f>IF(ISERROR(A181),NA(),Пенсия!$E$4+A181-1)</f>
        <v>70</v>
      </c>
      <c r="C181" s="63">
        <f>IF(ISERROR(A181),NA(),IF(B181&lt;Пенсия!$E$5,Пенсия!$E$10,Пенсия!$E$11))</f>
        <v>0.03</v>
      </c>
      <c r="D181" s="64">
        <f>IF(ISERROR(A181),NA(),IF(B181&gt;=Пенсия!$E$5,Пенсия!$E$16*(1+Пенсия!$E$12)^(B181-Пенсия!$E$5),(1+Пенсия!$E$23)*D180))</f>
        <v>4084123.5089834468</v>
      </c>
      <c r="E181" s="64">
        <f>IF(ISERROR(A181),NA(),IF(B181=Пенсия!$E$5-1,Пенсия!$E$34)+IF(A181&lt;=Пенсия!$E$7,Пенсия!$E$24*D181,0))</f>
        <v>0</v>
      </c>
      <c r="F181" s="65">
        <f>IF(ISERROR(A181),NA(),IF(ISERROR(B181),0,IF(AND(B181&gt;=$E$29,B181&lt;($E$29+$E$32)),$E$30*(1+Пенсия!$E$31)^(B181-$E$29),0)))</f>
        <v>139112.88891599997</v>
      </c>
      <c r="G181" s="65">
        <f>IF(ISERROR(A181),NA(),IF(B181&gt;=Пенсия!$E$5,D181-F181,0))</f>
        <v>3945010.620067447</v>
      </c>
      <c r="H181" s="64">
        <f>IF(ISERROR(A181),NA(),FV(C181/Пенсия!$E$60,Пенсия!$E$60,-(E181)/Пенсия!$E$60,-(I180-G181*Пенсия!$E$61),0)-(I180+E181-G181*Пенсия!$E$61))</f>
        <v>911789.8779974356</v>
      </c>
      <c r="I181" s="64">
        <f>IF(ISERROR(A181),NA(),I180+E181+H181-G181)</f>
        <v>31304785.811245285</v>
      </c>
      <c r="J181" s="2"/>
      <c r="K181" s="2"/>
      <c r="L181" s="2"/>
      <c r="M181" s="2"/>
    </row>
    <row r="182" spans="1:13" ht="12.75">
      <c r="A182" s="62">
        <f>IF(OR(I181&lt;0,A181&gt;=(Пенсия!$E$5-Пенсия!$E$4)+Пенсия!$E$6),NA(),A181+1)</f>
        <v>47</v>
      </c>
      <c r="B182" s="62">
        <f>IF(ISERROR(A182),NA(),Пенсия!$E$4+A182-1)</f>
        <v>71</v>
      </c>
      <c r="C182" s="63">
        <f>IF(ISERROR(A182),NA(),IF(B182&lt;Пенсия!$E$5,Пенсия!$E$10,Пенсия!$E$11))</f>
        <v>0.03</v>
      </c>
      <c r="D182" s="64">
        <f>IF(ISERROR(A182),NA(),IF(B182&gt;=Пенсия!$E$5,Пенсия!$E$16*(1+Пенсия!$E$12)^(B182-Пенсия!$E$5),(1+Пенсия!$E$23)*D181))</f>
        <v>4206647.214252951</v>
      </c>
      <c r="E182" s="64">
        <f>IF(ISERROR(A182),NA(),IF(B182=Пенсия!$E$5-1,Пенсия!$E$34)+IF(A182&lt;=Пенсия!$E$7,Пенсия!$E$24*D182,0))</f>
        <v>0</v>
      </c>
      <c r="F182" s="65">
        <f>IF(ISERROR(A182),NA(),IF(ISERROR(B182),0,IF(AND(B182&gt;=$E$29,B182&lt;($E$29+$E$32)),$E$30*(1+Пенсия!$E$31)^(B182-$E$29),0)))</f>
        <v>143286.27558348</v>
      </c>
      <c r="G182" s="65">
        <f>IF(ISERROR(A182),NA(),IF(B182&gt;=Пенсия!$E$5,D182-F182,0))</f>
        <v>4063360.9386694706</v>
      </c>
      <c r="H182" s="64">
        <f>IF(ISERROR(A182),NA(),FV(C182/Пенсия!$E$60,Пенсия!$E$60,-(E182)/Пенсия!$E$60,-(I181-G182*Пенсия!$E$61),0)-(I181+E182-G182*Пенсия!$E$61))</f>
        <v>817242.7461772747</v>
      </c>
      <c r="I182" s="64">
        <f>IF(ISERROR(A182),NA(),I181+E182+H182-G182)</f>
        <v>28058667.61875309</v>
      </c>
      <c r="J182" s="2"/>
      <c r="K182" s="2"/>
      <c r="L182" s="2"/>
      <c r="M182" s="2"/>
    </row>
    <row r="183" spans="1:13" ht="12.75">
      <c r="A183" s="62">
        <f>IF(OR(I182&lt;0,A182&gt;=(Пенсия!$E$5-Пенсия!$E$4)+Пенсия!$E$6),NA(),A182+1)</f>
        <v>48</v>
      </c>
      <c r="B183" s="62">
        <f>IF(ISERROR(A183),NA(),Пенсия!$E$4+A183-1)</f>
        <v>72</v>
      </c>
      <c r="C183" s="63">
        <f>IF(ISERROR(A183),NA(),IF(B183&lt;Пенсия!$E$5,Пенсия!$E$10,Пенсия!$E$11))</f>
        <v>0.03</v>
      </c>
      <c r="D183" s="64">
        <f>IF(ISERROR(A183),NA(),IF(B183&gt;=Пенсия!$E$5,Пенсия!$E$16*(1+Пенсия!$E$12)^(B183-Пенсия!$E$5),(1+Пенсия!$E$23)*D182))</f>
        <v>4332846.63068054</v>
      </c>
      <c r="E183" s="64">
        <f>IF(ISERROR(A183),NA(),IF(B183=Пенсия!$E$5-1,Пенсия!$E$34)+IF(A183&lt;=Пенсия!$E$7,Пенсия!$E$24*D183,0))</f>
        <v>0</v>
      </c>
      <c r="F183" s="65">
        <f>IF(ISERROR(A183),NA(),IF(ISERROR(B183),0,IF(AND(B183&gt;=$E$29,B183&lt;($E$29+$E$32)),$E$30*(1+Пенсия!$E$31)^(B183-$E$29),0)))</f>
        <v>147584.8638509844</v>
      </c>
      <c r="G183" s="65">
        <f>IF(ISERROR(A183),NA(),IF(B183&gt;=Пенсия!$E$5,D183-F183,0))</f>
        <v>4185261.7668295554</v>
      </c>
      <c r="H183" s="64">
        <f>IF(ISERROR(A183),NA(),FV(C183/Пенсия!$E$60,Пенсия!$E$60,-(E183)/Пенсия!$E$60,-(I182-G183*Пенсия!$E$61),0)-(I182+E183-G183*Пенсия!$E$61))</f>
        <v>716202.1755577065</v>
      </c>
      <c r="I183" s="64">
        <f>IF(ISERROR(A183),NA(),I182+E183+H183-G183)</f>
        <v>24589608.027481243</v>
      </c>
      <c r="J183" s="2"/>
      <c r="K183" s="2"/>
      <c r="L183" s="2"/>
      <c r="M183" s="2"/>
    </row>
    <row r="184" spans="1:13" ht="12.75">
      <c r="A184" s="62">
        <f>IF(OR(I183&lt;0,A183&gt;=(Пенсия!$E$5-Пенсия!$E$4)+Пенсия!$E$6),NA(),A183+1)</f>
        <v>49</v>
      </c>
      <c r="B184" s="62">
        <f>IF(ISERROR(A184),NA(),Пенсия!$E$4+A184-1)</f>
        <v>73</v>
      </c>
      <c r="C184" s="63">
        <f>IF(ISERROR(A184),NA(),IF(B184&lt;Пенсия!$E$5,Пенсия!$E$10,Пенсия!$E$11))</f>
        <v>0.03</v>
      </c>
      <c r="D184" s="64">
        <f>IF(ISERROR(A184),NA(),IF(B184&gt;=Пенсия!$E$5,Пенсия!$E$16*(1+Пенсия!$E$12)^(B184-Пенсия!$E$5),(1+Пенсия!$E$23)*D183))</f>
        <v>4462832.029600955</v>
      </c>
      <c r="E184" s="64">
        <f>IF(ISERROR(A184),NA(),IF(B184=Пенсия!$E$5-1,Пенсия!$E$34)+IF(A184&lt;=Пенсия!$E$7,Пенсия!$E$24*D184,0))</f>
        <v>0</v>
      </c>
      <c r="F184" s="65">
        <f>IF(ISERROR(A184),NA(),IF(ISERROR(B184),0,IF(AND(B184&gt;=$E$29,B184&lt;($E$29+$E$32)),$E$30*(1+Пенсия!$E$31)^(B184-$E$29),0)))</f>
        <v>152012.4097665139</v>
      </c>
      <c r="G184" s="65">
        <f>IF(ISERROR(A184),NA(),IF(B184&gt;=Пенсия!$E$5,D184-F184,0))</f>
        <v>4310819.619834441</v>
      </c>
      <c r="H184" s="64">
        <f>IF(ISERROR(A184),NA(),FV(C184/Пенсия!$E$60,Пенсия!$E$60,-(E184)/Пенсия!$E$60,-(I183-G184*Пенсия!$E$61),0)-(I183+E184-G184*Пенсия!$E$61))</f>
        <v>608363.6522294059</v>
      </c>
      <c r="I184" s="64">
        <f>IF(ISERROR(A184),NA(),I183+E184+H184-G184)</f>
        <v>20887152.059876207</v>
      </c>
      <c r="J184" s="2"/>
      <c r="K184" s="2"/>
      <c r="L184" s="2"/>
      <c r="M184" s="2"/>
    </row>
    <row r="185" spans="1:13" ht="12.75">
      <c r="A185" s="62">
        <f>IF(OR(I184&lt;0,A184&gt;=(Пенсия!$E$5-Пенсия!$E$4)+Пенсия!$E$6),NA(),A184+1)</f>
        <v>50</v>
      </c>
      <c r="B185" s="62">
        <f>IF(ISERROR(A185),NA(),Пенсия!$E$4+A185-1)</f>
        <v>74</v>
      </c>
      <c r="C185" s="63">
        <f>IF(ISERROR(A185),NA(),IF(B185&lt;Пенсия!$E$5,Пенсия!$E$10,Пенсия!$E$11))</f>
        <v>0.03</v>
      </c>
      <c r="D185" s="64">
        <f>IF(ISERROR(A185),NA(),IF(B185&gt;=Пенсия!$E$5,Пенсия!$E$16*(1+Пенсия!$E$12)^(B185-Пенсия!$E$5),(1+Пенсия!$E$23)*D184))</f>
        <v>4596716.990488984</v>
      </c>
      <c r="E185" s="64">
        <f>IF(ISERROR(A185),NA(),IF(B185=Пенсия!$E$5-1,Пенсия!$E$34)+IF(A185&lt;=Пенсия!$E$7,Пенсия!$E$24*D185,0))</f>
        <v>0</v>
      </c>
      <c r="F185" s="65">
        <f>IF(ISERROR(A185),NA(),IF(ISERROR(B185),0,IF(AND(B185&gt;=$E$29,B185&lt;($E$29+$E$32)),$E$30*(1+Пенсия!$E$31)^(B185-$E$29),0)))</f>
        <v>156572.78205950934</v>
      </c>
      <c r="G185" s="65">
        <f>IF(ISERROR(A185),NA(),IF(B185&gt;=Пенсия!$E$5,D185-F185,0))</f>
        <v>4440144.208429474</v>
      </c>
      <c r="H185" s="64">
        <f>IF(ISERROR(A185),NA(),FV(C185/Пенсия!$E$60,Пенсия!$E$60,-(E185)/Пенсия!$E$60,-(I184-G185*Пенсия!$E$61),0)-(I184+E185-G185*Пенсия!$E$61))</f>
        <v>493410.2355434038</v>
      </c>
      <c r="I185" s="64">
        <f>IF(ISERROR(A185),NA(),I184+E185+H185-G185)</f>
        <v>16940418.086990137</v>
      </c>
      <c r="J185" s="2"/>
      <c r="K185" s="2"/>
      <c r="L185" s="2"/>
      <c r="M185" s="2"/>
    </row>
    <row r="186" spans="1:13" ht="12.75">
      <c r="A186" s="62">
        <f>IF(OR(I185&lt;0,A185&gt;=(Пенсия!$E$5-Пенсия!$E$4)+Пенсия!$E$6),NA(),A185+1)</f>
        <v>51</v>
      </c>
      <c r="B186" s="62">
        <f>IF(ISERROR(A186),NA(),Пенсия!$E$4+A186-1)</f>
        <v>75</v>
      </c>
      <c r="C186" s="63">
        <f>IF(ISERROR(A186),NA(),IF(B186&lt;Пенсия!$E$5,Пенсия!$E$10,Пенсия!$E$11))</f>
        <v>0.03</v>
      </c>
      <c r="D186" s="64">
        <f>IF(ISERROR(A186),NA(),IF(B186&gt;=Пенсия!$E$5,Пенсия!$E$16*(1+Пенсия!$E$12)^(B186-Пенсия!$E$5),(1+Пенсия!$E$23)*D185))</f>
        <v>4734618.500203653</v>
      </c>
      <c r="E186" s="64">
        <f>IF(ISERROR(A186),NA(),IF(B186=Пенсия!$E$5-1,Пенсия!$E$34)+IF(A186&lt;=Пенсия!$E$7,Пенсия!$E$24*D186,0))</f>
        <v>0</v>
      </c>
      <c r="F186" s="65">
        <f>IF(ISERROR(A186),NA(),IF(ISERROR(B186),0,IF(AND(B186&gt;=$E$29,B186&lt;($E$29+$E$32)),$E$30*(1+Пенсия!$E$31)^(B186-$E$29),0)))</f>
        <v>161269.96552129462</v>
      </c>
      <c r="G186" s="65">
        <f>IF(ISERROR(A186),NA(),IF(B186&gt;=Пенсия!$E$5,D186-F186,0))</f>
        <v>4573348.534682359</v>
      </c>
      <c r="H186" s="64">
        <f>IF(ISERROR(A186),NA(),FV(C186/Пенсия!$E$60,Пенсия!$E$60,-(E186)/Пенсия!$E$60,-(I185-G186*Пенсия!$E$61),0)-(I185+E186-G186*Пенсия!$E$61))</f>
        <v>371012.08656923287</v>
      </c>
      <c r="I186" s="64">
        <f>IF(ISERROR(A186),NA(),I185+E186+H186-G186)</f>
        <v>12738081.638877008</v>
      </c>
      <c r="J186" s="2"/>
      <c r="K186" s="2"/>
      <c r="L186" s="2"/>
      <c r="M186" s="2"/>
    </row>
    <row r="187" spans="1:13" ht="12.75">
      <c r="A187" s="62">
        <f>IF(OR(I186&lt;0,A186&gt;=(Пенсия!$E$5-Пенсия!$E$4)+Пенсия!$E$6),NA(),A186+1)</f>
        <v>52</v>
      </c>
      <c r="B187" s="62">
        <f>IF(ISERROR(A187),NA(),Пенсия!$E$4+A187-1)</f>
        <v>76</v>
      </c>
      <c r="C187" s="63">
        <f>IF(ISERROR(A187),NA(),IF(B187&lt;Пенсия!$E$5,Пенсия!$E$10,Пенсия!$E$11))</f>
        <v>0.03</v>
      </c>
      <c r="D187" s="64">
        <f>IF(ISERROR(A187),NA(),IF(B187&gt;=Пенсия!$E$5,Пенсия!$E$16*(1+Пенсия!$E$12)^(B187-Пенсия!$E$5),(1+Пенсия!$E$23)*D186))</f>
        <v>4876657.055209763</v>
      </c>
      <c r="E187" s="64">
        <f>IF(ISERROR(A187),NA(),IF(B187=Пенсия!$E$5-1,Пенсия!$E$34)+IF(A187&lt;=Пенсия!$E$7,Пенсия!$E$24*D187,0))</f>
        <v>0</v>
      </c>
      <c r="F187" s="65">
        <f>IF(ISERROR(A187),NA(),IF(ISERROR(B187),0,IF(AND(B187&gt;=$E$29,B187&lt;($E$29+$E$32)),$E$30*(1+Пенсия!$E$31)^(B187-$E$29),0)))</f>
        <v>166108.06448693346</v>
      </c>
      <c r="G187" s="65">
        <f>IF(ISERROR(A187),NA(),IF(B187&gt;=Пенсия!$E$5,D187-F187,0))</f>
        <v>4710548.9907228295</v>
      </c>
      <c r="H187" s="64">
        <f>IF(ISERROR(A187),NA(),FV(C187/Пенсия!$E$60,Пенсия!$E$60,-(E187)/Пенсия!$E$60,-(I186-G187*Пенсия!$E$61),0)-(I186+E187-G187*Пенсия!$E$61))</f>
        <v>240825.9794446258</v>
      </c>
      <c r="I187" s="64">
        <f>IF(ISERROR(A187),NA(),I186+E187+H187-G187)</f>
        <v>8268358.627598805</v>
      </c>
      <c r="J187" s="2"/>
      <c r="K187" s="2"/>
      <c r="L187" s="2"/>
      <c r="M187" s="2"/>
    </row>
    <row r="188" spans="1:13" ht="12.75">
      <c r="A188" s="62">
        <f>IF(OR(I187&lt;0,A187&gt;=(Пенсия!$E$5-Пенсия!$E$4)+Пенсия!$E$6),NA(),A187+1)</f>
        <v>53</v>
      </c>
      <c r="B188" s="62">
        <f>IF(ISERROR(A188),NA(),Пенсия!$E$4+A188-1)</f>
        <v>77</v>
      </c>
      <c r="C188" s="63">
        <f>IF(ISERROR(A188),NA(),IF(B188&lt;Пенсия!$E$5,Пенсия!$E$10,Пенсия!$E$11))</f>
        <v>0.03</v>
      </c>
      <c r="D188" s="64">
        <f>IF(ISERROR(A188),NA(),IF(B188&gt;=Пенсия!$E$5,Пенсия!$E$16*(1+Пенсия!$E$12)^(B188-Пенсия!$E$5),(1+Пенсия!$E$23)*D187))</f>
        <v>5022956.766866055</v>
      </c>
      <c r="E188" s="64">
        <f>IF(ISERROR(A188),NA(),IF(B188=Пенсия!$E$5-1,Пенсия!$E$34)+IF(A188&lt;=Пенсия!$E$7,Пенсия!$E$24*D188,0))</f>
        <v>0</v>
      </c>
      <c r="F188" s="65">
        <f>IF(ISERROR(A188),NA(),IF(ISERROR(B188),0,IF(AND(B188&gt;=$E$29,B188&lt;($E$29+$E$32)),$E$30*(1+Пенсия!$E$31)^(B188-$E$29),0)))</f>
        <v>171091.30642154143</v>
      </c>
      <c r="G188" s="65">
        <f>IF(ISERROR(A188),NA(),IF(B188&gt;=Пенсия!$E$5,D188-F188,0))</f>
        <v>4851865.460444514</v>
      </c>
      <c r="H188" s="64">
        <f>IF(ISERROR(A188),NA(),FV(C188/Пенсия!$E$60,Пенсия!$E$60,-(E188)/Пенсия!$E$60,-(I187-G188*Пенсия!$E$61),0)-(I187+E188-G188*Пенсия!$E$61))</f>
        <v>102494.79501462867</v>
      </c>
      <c r="I188" s="64">
        <f>IF(ISERROR(A188),NA(),I187+E188+H188-G188)</f>
        <v>3518987.962168921</v>
      </c>
      <c r="J188" s="2"/>
      <c r="K188" s="2"/>
      <c r="L188" s="2"/>
      <c r="M188" s="2"/>
    </row>
    <row r="189" spans="1:13" ht="12.75">
      <c r="A189" s="62">
        <f>IF(OR(I188&lt;0,A188&gt;=(Пенсия!$E$5-Пенсия!$E$4)+Пенсия!$E$6),NA(),A188+1)</f>
        <v>54</v>
      </c>
      <c r="B189" s="62">
        <f>IF(ISERROR(A189),NA(),Пенсия!$E$4+A189-1)</f>
        <v>78</v>
      </c>
      <c r="C189" s="63">
        <f>IF(ISERROR(A189),NA(),IF(B189&lt;Пенсия!$E$5,Пенсия!$E$10,Пенсия!$E$11))</f>
        <v>0.03</v>
      </c>
      <c r="D189" s="64">
        <f>IF(ISERROR(A189),NA(),IF(B189&gt;=Пенсия!$E$5,Пенсия!$E$16*(1+Пенсия!$E$12)^(B189-Пенсия!$E$5),(1+Пенсия!$E$23)*D188))</f>
        <v>5173645.469872037</v>
      </c>
      <c r="E189" s="64">
        <f>IF(ISERROR(A189),NA(),IF(B189=Пенсия!$E$5-1,Пенсия!$E$34)+IF(A189&lt;=Пенсия!$E$7,Пенсия!$E$24*D189,0))</f>
        <v>0</v>
      </c>
      <c r="F189" s="65">
        <f>IF(ISERROR(A189),NA(),IF(ISERROR(B189),0,IF(AND(B189&gt;=$E$29,B189&lt;($E$29+$E$32)),$E$30*(1+Пенсия!$E$31)^(B189-$E$29),0)))</f>
        <v>176224.04561418766</v>
      </c>
      <c r="G189" s="65">
        <f>IF(ISERROR(A189),NA(),IF(B189&gt;=Пенсия!$E$5,D189-F189,0))</f>
        <v>4997421.424257849</v>
      </c>
      <c r="H189" s="64">
        <f>IF(ISERROR(A189),NA(),FV(C189/Пенсия!$E$60,Пенсия!$E$60,-(E189)/Пенсия!$E$60,-(I188-G189*Пенсия!$E$61),0)-(I188+E189-G189*Пенсия!$E$61))</f>
        <v>-44353.00386266783</v>
      </c>
      <c r="I189" s="64">
        <f>IF(ISERROR(A189),NA(),I188+E189+H189-G189)</f>
        <v>-1522786.4659515964</v>
      </c>
      <c r="J189" s="2"/>
      <c r="K189" s="2"/>
      <c r="L189" s="2"/>
      <c r="M189" s="2"/>
    </row>
    <row r="190" spans="1:13" ht="12.75">
      <c r="A190" s="2"/>
      <c r="B190" s="2"/>
      <c r="C190" s="50"/>
      <c r="D190" s="27"/>
      <c r="E190" s="27"/>
      <c r="F190" s="2"/>
      <c r="G190" s="5"/>
      <c r="H190" s="27"/>
      <c r="I190" s="27"/>
      <c r="J190" s="2"/>
      <c r="K190" s="2"/>
      <c r="L190" s="2"/>
      <c r="M190" s="2"/>
    </row>
    <row r="191" spans="1:13" ht="12.75">
      <c r="A191" s="2"/>
      <c r="B191" s="2"/>
      <c r="C191" s="50"/>
      <c r="D191" s="27"/>
      <c r="E191" s="27"/>
      <c r="F191" s="2"/>
      <c r="G191" s="5"/>
      <c r="H191" s="27"/>
      <c r="I191" s="27"/>
      <c r="J191" s="2"/>
      <c r="K191" s="2"/>
      <c r="L191" s="2"/>
      <c r="M191" s="2"/>
    </row>
    <row r="192" spans="1:13" ht="12.75">
      <c r="A192" s="2"/>
      <c r="B192" s="2"/>
      <c r="C192" s="50"/>
      <c r="D192" s="27"/>
      <c r="E192" s="27"/>
      <c r="F192" s="2"/>
      <c r="G192" s="2"/>
      <c r="H192" s="27"/>
      <c r="I192" s="27"/>
      <c r="J192" s="2"/>
      <c r="K192" s="2"/>
      <c r="L192" s="2"/>
      <c r="M192" s="2"/>
    </row>
    <row r="193" spans="1:13" ht="12.75">
      <c r="A193" s="2"/>
      <c r="B193" s="2"/>
      <c r="C193" s="50"/>
      <c r="D193" s="27"/>
      <c r="E193" s="27"/>
      <c r="F193" s="2"/>
      <c r="G193" s="2"/>
      <c r="H193" s="27"/>
      <c r="I193" s="27"/>
      <c r="J193" s="2"/>
      <c r="K193" s="2"/>
      <c r="L193" s="2"/>
      <c r="M193" s="2"/>
    </row>
    <row r="194" spans="1:13" ht="12.75">
      <c r="A194" s="2"/>
      <c r="B194" s="2"/>
      <c r="C194" s="50"/>
      <c r="D194" s="27"/>
      <c r="E194" s="27"/>
      <c r="F194" s="2"/>
      <c r="G194" s="2"/>
      <c r="H194" s="27"/>
      <c r="I194" s="27"/>
      <c r="J194" s="2"/>
      <c r="K194" s="2"/>
      <c r="L194" s="2"/>
      <c r="M194" s="2"/>
    </row>
    <row r="195" spans="1:13" ht="12.75">
      <c r="A195" s="2"/>
      <c r="B195" s="2"/>
      <c r="C195" s="50"/>
      <c r="D195" s="27"/>
      <c r="E195" s="27"/>
      <c r="F195" s="2"/>
      <c r="G195" s="2"/>
      <c r="H195" s="27"/>
      <c r="I195" s="27"/>
      <c r="J195" s="2"/>
      <c r="K195" s="2"/>
      <c r="L195" s="2"/>
      <c r="M195" s="2"/>
    </row>
    <row r="196" spans="1:13" ht="12.75">
      <c r="A196" s="2"/>
      <c r="B196" s="2"/>
      <c r="C196" s="50"/>
      <c r="D196" s="27"/>
      <c r="E196" s="27"/>
      <c r="F196" s="2"/>
      <c r="G196" s="2"/>
      <c r="H196" s="27"/>
      <c r="I196" s="27"/>
      <c r="J196" s="2"/>
      <c r="K196" s="2"/>
      <c r="L196" s="2"/>
      <c r="M196" s="2"/>
    </row>
    <row r="197" spans="1:13" ht="12.75">
      <c r="A197" s="2"/>
      <c r="B197" s="2"/>
      <c r="C197" s="50"/>
      <c r="D197" s="27"/>
      <c r="E197" s="27"/>
      <c r="F197" s="2"/>
      <c r="G197" s="2"/>
      <c r="H197" s="27"/>
      <c r="I197" s="27"/>
      <c r="J197" s="2"/>
      <c r="K197" s="2"/>
      <c r="L197" s="2"/>
      <c r="M197" s="2"/>
    </row>
    <row r="198" spans="1:13" ht="12.75">
      <c r="A198" s="2"/>
      <c r="B198" s="2"/>
      <c r="C198" s="50"/>
      <c r="D198" s="27"/>
      <c r="E198" s="27"/>
      <c r="F198" s="2"/>
      <c r="G198" s="2"/>
      <c r="H198" s="27"/>
      <c r="I198" s="27"/>
      <c r="J198" s="2"/>
      <c r="K198" s="2"/>
      <c r="L198" s="2"/>
      <c r="M198" s="2"/>
    </row>
    <row r="199" spans="1:13" ht="12.75">
      <c r="A199" s="2"/>
      <c r="B199" s="2"/>
      <c r="C199" s="50"/>
      <c r="D199" s="27"/>
      <c r="E199" s="27"/>
      <c r="F199" s="2"/>
      <c r="G199" s="2"/>
      <c r="H199" s="27"/>
      <c r="I199" s="27"/>
      <c r="J199" s="2"/>
      <c r="K199" s="2"/>
      <c r="L199" s="2"/>
      <c r="M199" s="2"/>
    </row>
  </sheetData>
  <sheetProtection/>
  <mergeCells count="33">
    <mergeCell ref="G2:K2"/>
    <mergeCell ref="G3:K4"/>
    <mergeCell ref="A29:D29"/>
    <mergeCell ref="A30:D30"/>
    <mergeCell ref="A37:D37"/>
    <mergeCell ref="A38:D38"/>
    <mergeCell ref="A31:D31"/>
    <mergeCell ref="A32:D32"/>
    <mergeCell ref="A33:D33"/>
    <mergeCell ref="A34:D34"/>
    <mergeCell ref="A36:D36"/>
    <mergeCell ref="A21:D21"/>
    <mergeCell ref="A26:D26"/>
    <mergeCell ref="A23:D23"/>
    <mergeCell ref="A24:D24"/>
    <mergeCell ref="A25:D25"/>
    <mergeCell ref="A16:D16"/>
    <mergeCell ref="A17:D17"/>
    <mergeCell ref="A19:E19"/>
    <mergeCell ref="A9:E9"/>
    <mergeCell ref="A10:D10"/>
    <mergeCell ref="A11:D11"/>
    <mergeCell ref="A12:D12"/>
    <mergeCell ref="A7:D7"/>
    <mergeCell ref="A14:E14"/>
    <mergeCell ref="A3:E3"/>
    <mergeCell ref="A1:E1"/>
    <mergeCell ref="A15:D15"/>
    <mergeCell ref="A4:D4"/>
    <mergeCell ref="A5:D5"/>
    <mergeCell ref="A6:D6"/>
    <mergeCell ref="A20:D20"/>
    <mergeCell ref="A28:E28"/>
  </mergeCells>
  <conditionalFormatting sqref="A136:I189 A66:I130">
    <cfRule type="expression" priority="8" dxfId="2" stopIfTrue="1">
      <formula>ISERROR(A66)</formula>
    </cfRule>
    <cfRule type="expression" priority="9" dxfId="0" stopIfTrue="1">
      <formula>MOD(ROW(),2)=1</formula>
    </cfRule>
  </conditionalFormatting>
  <dataValidations count="2">
    <dataValidation type="list" allowBlank="1" showInputMessage="1" showErrorMessage="1" sqref="E60">
      <formula1>"12,24,26,52,13,4,2,1"</formula1>
    </dataValidation>
    <dataValidation type="list" allowBlank="1" showInputMessage="1" showErrorMessage="1" sqref="E61">
      <formula1>"0,1"</formula1>
    </dataValidation>
  </dataValidations>
  <printOptions horizontalCentered="1"/>
  <pageMargins left="0.5" right="0.5" top="0.5" bottom="0.5" header="0.5" footer="0.25"/>
  <pageSetup fitToHeight="0" fitToWidth="1" horizontalDpi="600" verticalDpi="600" orientation="portrait" scale="93" r:id="rId4"/>
  <headerFooter scaleWithDoc="0">
    <firstFooter>&amp;R&amp;"Arial,Regular"&amp;8Page &amp;P of &amp;N</first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Calculator</dc:title>
  <dc:subject/>
  <dc:creator>Vertex42.com</dc:creator>
  <cp:keywords/>
  <dc:description>(c) 2015-2016 Vertex42 LLC. All Rights Reserved.</dc:description>
  <cp:lastModifiedBy>Ваш Казначей</cp:lastModifiedBy>
  <cp:lastPrinted>2016-07-20T20:58:37Z</cp:lastPrinted>
  <dcterms:created xsi:type="dcterms:W3CDTF">2005-04-02T20:59:36Z</dcterms:created>
  <dcterms:modified xsi:type="dcterms:W3CDTF">2018-03-07T01:17:21Z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2015-2016 Vertex42 LLC</vt:lpwstr>
  </property>
  <property fmtid="{D5CDD505-2E9C-101B-9397-08002B2CF9AE}" pid="3" name="Version">
    <vt:lpwstr>1.0.5</vt:lpwstr>
  </property>
</Properties>
</file>