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5" windowHeight="2340" activeTab="0"/>
  </bookViews>
  <sheets>
    <sheet name="Ближайшие 15 лет" sheetId="1" r:id="rId1"/>
    <sheet name="Следующие 10 лет" sheetId="2" r:id="rId2"/>
    <sheet name="Следующие 30 лет" sheetId="3" r:id="rId3"/>
  </sheets>
  <definedNames/>
  <calcPr fullCalcOnLoad="1"/>
</workbook>
</file>

<file path=xl/comments1.xml><?xml version="1.0" encoding="utf-8"?>
<comments xmlns="http://schemas.openxmlformats.org/spreadsheetml/2006/main">
  <authors>
    <author>Ваш Казначей</author>
  </authors>
  <commentList>
    <comment ref="D10" authorId="0">
      <text>
        <r>
          <rPr>
            <b/>
            <sz val="9"/>
            <rFont val="Tahoma"/>
            <family val="2"/>
          </rPr>
          <t>Ваш Казначей:</t>
        </r>
        <r>
          <rPr>
            <sz val="9"/>
            <rFont val="Tahoma"/>
            <family val="2"/>
          </rPr>
          <t xml:space="preserve">
Максимальная сумма</t>
        </r>
      </text>
    </comment>
    <comment ref="E10" authorId="0">
      <text>
        <r>
          <rPr>
            <b/>
            <sz val="9"/>
            <rFont val="Tahoma"/>
            <family val="2"/>
          </rPr>
          <t>Ваш Казначей:</t>
        </r>
        <r>
          <rPr>
            <sz val="9"/>
            <rFont val="Tahoma"/>
            <family val="2"/>
          </rPr>
          <t xml:space="preserve">
Максимальная сумма</t>
        </r>
      </text>
    </comment>
    <comment ref="E24" authorId="0">
      <text>
        <r>
          <rPr>
            <b/>
            <sz val="9"/>
            <rFont val="Tahoma"/>
            <family val="2"/>
          </rPr>
          <t>Остающийся чистый денежный поток направляется на инвестиции</t>
        </r>
      </text>
    </comment>
  </commentList>
</comments>
</file>

<file path=xl/sharedStrings.xml><?xml version="1.0" encoding="utf-8"?>
<sst xmlns="http://schemas.openxmlformats.org/spreadsheetml/2006/main" count="143" uniqueCount="54">
  <si>
    <t>Доходы</t>
  </si>
  <si>
    <t>руб.</t>
  </si>
  <si>
    <t>ИТОГО Доходы</t>
  </si>
  <si>
    <t>Расходы</t>
  </si>
  <si>
    <t>НДФЛ (13%)</t>
  </si>
  <si>
    <t>Продажа автомобиля</t>
  </si>
  <si>
    <t>Налоговый вычет по ипотеке</t>
  </si>
  <si>
    <t>Зарплата мужа (до налогов) *</t>
  </si>
  <si>
    <t>Зарплата жены (до налогов) *</t>
  </si>
  <si>
    <t xml:space="preserve">* с учетом ежегодной индексации на уровень инфляции 3% </t>
  </si>
  <si>
    <t>Чистый денежный поток</t>
  </si>
  <si>
    <t>Проценты по ипотеке **</t>
  </si>
  <si>
    <t>** фиксированная сумма</t>
  </si>
  <si>
    <t>Инвестируемые активы</t>
  </si>
  <si>
    <t>Резервный капитал</t>
  </si>
  <si>
    <t>Депозит в банке, 15 лет, 5% годовых</t>
  </si>
  <si>
    <t>Проценты по вкладу (см. ниже)</t>
  </si>
  <si>
    <t>Бюджет движения денежных средств</t>
  </si>
  <si>
    <t>Депозит в банке (резервный капитал)</t>
  </si>
  <si>
    <t>Инвестируемая сумма</t>
  </si>
  <si>
    <t>Отдых/досуг *</t>
  </si>
  <si>
    <t xml:space="preserve">Итого </t>
  </si>
  <si>
    <t xml:space="preserve"> + инфляция</t>
  </si>
  <si>
    <t>Процент ***</t>
  </si>
  <si>
    <t>*** Банковский депозит в России налогом не облагается. Однако если процентная ставка по вкладу в рублях выше ставки рефинансирования ЦБ более чем на 5%, а по валютному — более 9%, то с разницы банк удержит 35% налог.</t>
  </si>
  <si>
    <t xml:space="preserve"> + налог на инвестиции</t>
  </si>
  <si>
    <t>Итого</t>
  </si>
  <si>
    <t>%</t>
  </si>
  <si>
    <t>Требуемая доходность инвестиций</t>
  </si>
  <si>
    <t>Год 16</t>
  </si>
  <si>
    <t>Текущие расходы *</t>
  </si>
  <si>
    <t xml:space="preserve"> - Резервный капитал</t>
  </si>
  <si>
    <t>Наследство (после налогов) (Год 0)</t>
  </si>
  <si>
    <t>Денежный поток (Год 16) / Инвестируемые активы</t>
  </si>
  <si>
    <t>Год 26</t>
  </si>
  <si>
    <t>Пенсия мужа **</t>
  </si>
  <si>
    <t>Пенсия жены **</t>
  </si>
  <si>
    <t>Денежный поток (Год 26) / Инвестируемые активы</t>
  </si>
  <si>
    <t>ИТОГО Расходы</t>
  </si>
  <si>
    <t>Чистый денежный поток (Год 1)</t>
  </si>
  <si>
    <t>Ремонт/ обустройство квартиры</t>
  </si>
  <si>
    <t>Досрочное погашение ипотеки</t>
  </si>
  <si>
    <t>Покупка автомобиля *</t>
  </si>
  <si>
    <t>Наследство (после налогов) - 5 000 000 руб (Год 0)</t>
  </si>
  <si>
    <t>Кредиты - 0 (Год 0)</t>
  </si>
  <si>
    <t xml:space="preserve"> (- Денежный поток (Год 1)) / Инвестируемые активы</t>
  </si>
  <si>
    <t>Взнос на ипотеку (25 лет, 10%)</t>
  </si>
  <si>
    <t>Проценты по ипотеке</t>
  </si>
  <si>
    <t>Чистый денежный поток (Год 2-15)</t>
  </si>
  <si>
    <t xml:space="preserve">Инвестиционный капитал </t>
  </si>
  <si>
    <t>Инвестиционный капитал Год 0</t>
  </si>
  <si>
    <t>* 70% средних расходов предыущего периода, с учетом инфляции</t>
  </si>
  <si>
    <t>* с учетом периодической индексации на уровень инфляции 3% (раз в 2 года)</t>
  </si>
  <si>
    <t xml:space="preserve"> * Резерв 2 млн. руб. (возврат депозита) потрачен в году 16 на образование для ребенка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</si>
</sst>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Год&quot;\ 0"/>
    <numFmt numFmtId="165" formatCode="_-* #,##0.000\ _₽_-;\-* #,##0.000\ _₽_-;_-* &quot;-&quot;??\ _₽_-;_-@_-"/>
    <numFmt numFmtId="166" formatCode="_-* #,##0.0\ _₽_-;\-* #,##0.0\ _₽_-;_-* &quot;-&quot;??\ _₽_-;_-@_-"/>
    <numFmt numFmtId="167" formatCode="_-* #,##0\ _₽_-;\-* #,##0\ _₽_-;_-* &quot;-&quot;??\ _₽_-;_-@_-"/>
    <numFmt numFmtId="168" formatCode="0.0%"/>
  </numFmts>
  <fonts count="57">
    <font>
      <sz val="11"/>
      <color theme="1"/>
      <name val="Arial Narrow"/>
      <family val="2"/>
    </font>
    <font>
      <sz val="11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name val="Arial Narrow"/>
      <family val="2"/>
    </font>
    <font>
      <b/>
      <u val="single"/>
      <sz val="1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 Narrow"/>
      <family val="2"/>
    </font>
    <font>
      <b/>
      <sz val="13"/>
      <color indexed="54"/>
      <name val="Arial Narrow"/>
      <family val="2"/>
    </font>
    <font>
      <b/>
      <sz val="11"/>
      <color indexed="54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4"/>
      <color indexed="9"/>
      <name val="Arial Narrow"/>
      <family val="2"/>
    </font>
    <font>
      <i/>
      <sz val="11"/>
      <color indexed="8"/>
      <name val="Arial Narrow"/>
      <family val="2"/>
    </font>
    <font>
      <b/>
      <u val="singleAccounting"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u val="singleAccounting"/>
      <sz val="14"/>
      <color indexed="8"/>
      <name val="Arial Narrow"/>
      <family val="2"/>
    </font>
    <font>
      <u val="single"/>
      <sz val="11"/>
      <color indexed="30"/>
      <name val="Arial Narrow"/>
      <family val="2"/>
    </font>
    <font>
      <u val="single"/>
      <sz val="11"/>
      <color indexed="25"/>
      <name val="Arial Narrow"/>
      <family val="2"/>
    </font>
    <font>
      <b/>
      <i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u val="single"/>
      <sz val="11"/>
      <color theme="1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8"/>
      <color theme="3"/>
      <name val="Calibri Light"/>
      <family val="2"/>
    </font>
    <font>
      <sz val="11"/>
      <color rgb="FF9C6500"/>
      <name val="Arial Narrow"/>
      <family val="2"/>
    </font>
    <font>
      <u val="single"/>
      <sz val="11"/>
      <color theme="11"/>
      <name val="Arial Narrow"/>
      <family val="2"/>
    </font>
    <font>
      <sz val="11"/>
      <color rgb="FF9C0006"/>
      <name val="Arial Narrow"/>
      <family val="2"/>
    </font>
    <font>
      <i/>
      <sz val="11"/>
      <color rgb="FF7F7F7F"/>
      <name val="Arial Narrow"/>
      <family val="2"/>
    </font>
    <font>
      <sz val="11"/>
      <color rgb="FFFA7D00"/>
      <name val="Arial Narrow"/>
      <family val="2"/>
    </font>
    <font>
      <sz val="11"/>
      <color rgb="FFFF0000"/>
      <name val="Arial Narrow"/>
      <family val="2"/>
    </font>
    <font>
      <sz val="11"/>
      <color rgb="FF006100"/>
      <name val="Arial Narrow"/>
      <family val="2"/>
    </font>
    <font>
      <b/>
      <sz val="14"/>
      <color theme="0"/>
      <name val="Arial Narrow"/>
      <family val="2"/>
    </font>
    <font>
      <i/>
      <sz val="11"/>
      <color theme="1"/>
      <name val="Arial Narrow"/>
      <family val="2"/>
    </font>
    <font>
      <b/>
      <u val="singleAccounting"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u val="singleAccounting"/>
      <sz val="14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9" fontId="0" fillId="0" borderId="0" xfId="0" applyNumberFormat="1" applyAlignment="1">
      <alignment/>
    </xf>
    <xf numFmtId="43" fontId="0" fillId="0" borderId="0" xfId="6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49" fillId="33" borderId="10" xfId="0" applyNumberFormat="1" applyFont="1" applyFill="1" applyBorder="1" applyAlignment="1">
      <alignment horizontal="center" vertical="center"/>
    </xf>
    <xf numFmtId="164" fontId="49" fillId="33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7" fontId="0" fillId="0" borderId="0" xfId="60" applyNumberFormat="1" applyFont="1" applyAlignment="1">
      <alignment/>
    </xf>
    <xf numFmtId="167" fontId="0" fillId="10" borderId="0" xfId="60" applyNumberFormat="1" applyFont="1" applyFill="1" applyAlignment="1">
      <alignment/>
    </xf>
    <xf numFmtId="0" fontId="0" fillId="0" borderId="0" xfId="0" applyBorder="1" applyAlignment="1">
      <alignment/>
    </xf>
    <xf numFmtId="167" fontId="0" fillId="0" borderId="0" xfId="60" applyNumberFormat="1" applyFont="1" applyBorder="1" applyAlignment="1">
      <alignment/>
    </xf>
    <xf numFmtId="167" fontId="0" fillId="10" borderId="0" xfId="60" applyNumberFormat="1" applyFont="1" applyFill="1" applyBorder="1" applyAlignment="1">
      <alignment/>
    </xf>
    <xf numFmtId="0" fontId="0" fillId="0" borderId="10" xfId="0" applyBorder="1" applyAlignment="1">
      <alignment/>
    </xf>
    <xf numFmtId="167" fontId="0" fillId="0" borderId="10" xfId="60" applyNumberFormat="1" applyFont="1" applyBorder="1" applyAlignment="1">
      <alignment/>
    </xf>
    <xf numFmtId="167" fontId="0" fillId="0" borderId="0" xfId="0" applyNumberFormat="1" applyAlignment="1">
      <alignment/>
    </xf>
    <xf numFmtId="167" fontId="0" fillId="10" borderId="10" xfId="60" applyNumberFormat="1" applyFont="1" applyFill="1" applyBorder="1" applyAlignment="1">
      <alignment/>
    </xf>
    <xf numFmtId="167" fontId="39" fillId="0" borderId="0" xfId="60" applyNumberFormat="1" applyFont="1" applyAlignment="1">
      <alignment/>
    </xf>
    <xf numFmtId="0" fontId="5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34" borderId="0" xfId="0" applyFont="1" applyFill="1" applyAlignment="1">
      <alignment/>
    </xf>
    <xf numFmtId="167" fontId="40" fillId="34" borderId="0" xfId="0" applyNumberFormat="1" applyFont="1" applyFill="1" applyAlignment="1">
      <alignment/>
    </xf>
    <xf numFmtId="0" fontId="39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51" fillId="0" borderId="0" xfId="0" applyNumberFormat="1" applyFont="1" applyAlignment="1">
      <alignment/>
    </xf>
    <xf numFmtId="168" fontId="0" fillId="0" borderId="0" xfId="57" applyNumberFormat="1" applyFont="1" applyAlignment="1">
      <alignment horizontal="center" vertical="center"/>
    </xf>
    <xf numFmtId="168" fontId="0" fillId="0" borderId="0" xfId="0" applyNumberFormat="1" applyAlignment="1">
      <alignment/>
    </xf>
    <xf numFmtId="0" fontId="40" fillId="34" borderId="0" xfId="0" applyFont="1" applyFill="1" applyAlignment="1">
      <alignment horizontal="center" vertical="center"/>
    </xf>
    <xf numFmtId="168" fontId="4" fillId="0" borderId="0" xfId="57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168" fontId="5" fillId="0" borderId="0" xfId="57" applyNumberFormat="1" applyFont="1" applyFill="1" applyAlignment="1">
      <alignment horizontal="center" vertical="center"/>
    </xf>
    <xf numFmtId="0" fontId="52" fillId="0" borderId="0" xfId="0" applyFont="1" applyFill="1" applyBorder="1" applyAlignment="1">
      <alignment/>
    </xf>
    <xf numFmtId="167" fontId="53" fillId="0" borderId="0" xfId="0" applyNumberFormat="1" applyFont="1" applyAlignment="1">
      <alignment/>
    </xf>
    <xf numFmtId="167" fontId="0" fillId="0" borderId="0" xfId="0" applyNumberFormat="1" applyBorder="1" applyAlignment="1">
      <alignment/>
    </xf>
    <xf numFmtId="0" fontId="49" fillId="34" borderId="0" xfId="0" applyFont="1" applyFill="1" applyAlignment="1">
      <alignment/>
    </xf>
    <xf numFmtId="0" fontId="52" fillId="0" borderId="10" xfId="0" applyFont="1" applyBorder="1" applyAlignment="1">
      <alignment/>
    </xf>
    <xf numFmtId="0" fontId="49" fillId="34" borderId="0" xfId="0" applyFont="1" applyFill="1" applyAlignment="1">
      <alignment horizontal="center" vertical="center"/>
    </xf>
    <xf numFmtId="167" fontId="0" fillId="0" borderId="10" xfId="60" applyNumberFormat="1" applyFont="1" applyBorder="1" applyAlignment="1">
      <alignment/>
    </xf>
    <xf numFmtId="9" fontId="0" fillId="0" borderId="0" xfId="57" applyFont="1" applyAlignment="1">
      <alignment/>
    </xf>
    <xf numFmtId="167" fontId="40" fillId="33" borderId="0" xfId="0" applyNumberFormat="1" applyFont="1" applyFill="1" applyAlignment="1">
      <alignment/>
    </xf>
    <xf numFmtId="167" fontId="0" fillId="15" borderId="0" xfId="60" applyNumberFormat="1" applyFont="1" applyFill="1" applyAlignment="1">
      <alignment/>
    </xf>
    <xf numFmtId="0" fontId="0" fillId="35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167" fontId="0" fillId="0" borderId="10" xfId="6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5"/>
  <sheetViews>
    <sheetView showGridLines="0" tabSelected="1" zoomScalePageLayoutView="0" workbookViewId="0" topLeftCell="A1">
      <selection activeCell="F21" sqref="F21"/>
    </sheetView>
  </sheetViews>
  <sheetFormatPr defaultColWidth="9.140625" defaultRowHeight="16.5"/>
  <cols>
    <col min="1" max="1" width="3.8515625" style="0" customWidth="1"/>
    <col min="2" max="2" width="47.7109375" style="0" customWidth="1"/>
    <col min="3" max="3" width="14.8515625" style="0" customWidth="1"/>
    <col min="4" max="18" width="12.7109375" style="0" customWidth="1"/>
  </cols>
  <sheetData>
    <row r="1" ht="16.5">
      <c r="B1" s="8" t="s">
        <v>43</v>
      </c>
    </row>
    <row r="2" ht="16.5">
      <c r="B2" s="8" t="s">
        <v>44</v>
      </c>
    </row>
    <row r="4" spans="2:18" ht="18">
      <c r="B4" s="6" t="s">
        <v>17</v>
      </c>
      <c r="C4" s="7">
        <v>0</v>
      </c>
      <c r="D4" s="7">
        <f>C4+1</f>
        <v>1</v>
      </c>
      <c r="E4" s="7">
        <f aca="true" t="shared" si="0" ref="E4:R4">D4+1</f>
        <v>2</v>
      </c>
      <c r="F4" s="7">
        <f t="shared" si="0"/>
        <v>3</v>
      </c>
      <c r="G4" s="7">
        <f t="shared" si="0"/>
        <v>4</v>
      </c>
      <c r="H4" s="7">
        <f t="shared" si="0"/>
        <v>5</v>
      </c>
      <c r="I4" s="7">
        <f t="shared" si="0"/>
        <v>6</v>
      </c>
      <c r="J4" s="7">
        <f t="shared" si="0"/>
        <v>7</v>
      </c>
      <c r="K4" s="7">
        <f t="shared" si="0"/>
        <v>8</v>
      </c>
      <c r="L4" s="7">
        <f t="shared" si="0"/>
        <v>9</v>
      </c>
      <c r="M4" s="7">
        <f t="shared" si="0"/>
        <v>10</v>
      </c>
      <c r="N4" s="7">
        <f t="shared" si="0"/>
        <v>11</v>
      </c>
      <c r="O4" s="7">
        <f t="shared" si="0"/>
        <v>12</v>
      </c>
      <c r="P4" s="7">
        <f t="shared" si="0"/>
        <v>13</v>
      </c>
      <c r="Q4" s="7">
        <f t="shared" si="0"/>
        <v>14</v>
      </c>
      <c r="R4" s="7">
        <f t="shared" si="0"/>
        <v>15</v>
      </c>
    </row>
    <row r="5" spans="2:18" ht="16.5">
      <c r="B5" s="8" t="s">
        <v>0</v>
      </c>
      <c r="C5" s="9" t="s">
        <v>1</v>
      </c>
      <c r="D5" s="9" t="s">
        <v>1</v>
      </c>
      <c r="E5" s="9" t="s">
        <v>1</v>
      </c>
      <c r="F5" s="9" t="s">
        <v>1</v>
      </c>
      <c r="G5" s="9" t="s">
        <v>1</v>
      </c>
      <c r="H5" s="9" t="s">
        <v>1</v>
      </c>
      <c r="I5" s="9" t="s">
        <v>1</v>
      </c>
      <c r="J5" s="9" t="s">
        <v>1</v>
      </c>
      <c r="K5" s="9" t="s">
        <v>1</v>
      </c>
      <c r="L5" s="9" t="s">
        <v>1</v>
      </c>
      <c r="M5" s="9" t="s">
        <v>1</v>
      </c>
      <c r="N5" s="9" t="s">
        <v>1</v>
      </c>
      <c r="O5" s="9" t="s">
        <v>1</v>
      </c>
      <c r="P5" s="9" t="s">
        <v>1</v>
      </c>
      <c r="Q5" s="9" t="s">
        <v>1</v>
      </c>
      <c r="R5" s="9" t="s">
        <v>1</v>
      </c>
    </row>
    <row r="6" spans="2:18" ht="16.5">
      <c r="B6" t="s">
        <v>7</v>
      </c>
      <c r="C6" s="12">
        <f>150000*12</f>
        <v>1800000</v>
      </c>
      <c r="D6" s="11">
        <f>C6*(1.03)</f>
        <v>1854000</v>
      </c>
      <c r="E6" s="11">
        <f>D6</f>
        <v>1854000</v>
      </c>
      <c r="F6" s="11">
        <f>E6*(1.03)</f>
        <v>1909620</v>
      </c>
      <c r="G6" s="11">
        <f>F6</f>
        <v>1909620</v>
      </c>
      <c r="H6" s="11">
        <f>G6*(1.03)</f>
        <v>1966908.6</v>
      </c>
      <c r="I6" s="11">
        <f>H6</f>
        <v>1966908.6</v>
      </c>
      <c r="J6" s="11">
        <f>I6*(1.03)</f>
        <v>2025915.8580000002</v>
      </c>
      <c r="K6" s="11">
        <f>J6</f>
        <v>2025915.8580000002</v>
      </c>
      <c r="L6" s="11">
        <f>K6*(1.03)</f>
        <v>2086693.3337400004</v>
      </c>
      <c r="M6" s="11">
        <f>L6</f>
        <v>2086693.3337400004</v>
      </c>
      <c r="N6" s="11">
        <f>M6*(1.03)</f>
        <v>2149294.1337522003</v>
      </c>
      <c r="O6" s="11">
        <f>N6</f>
        <v>2149294.1337522003</v>
      </c>
      <c r="P6" s="11">
        <f>O6*(1.03)</f>
        <v>2213772.957764766</v>
      </c>
      <c r="Q6" s="11">
        <f>P6</f>
        <v>2213772.957764766</v>
      </c>
      <c r="R6" s="11">
        <f>Q6*(1.03)</f>
        <v>2280186.146497709</v>
      </c>
    </row>
    <row r="7" spans="2:18" ht="16.5">
      <c r="B7" t="s">
        <v>8</v>
      </c>
      <c r="C7" s="12">
        <f>120000*12</f>
        <v>1440000</v>
      </c>
      <c r="D7" s="11">
        <f aca="true" t="shared" si="1" ref="D7:R7">C7*(1.03)</f>
        <v>1483200</v>
      </c>
      <c r="E7" s="11">
        <f>D7</f>
        <v>1483200</v>
      </c>
      <c r="F7" s="11">
        <f t="shared" si="1"/>
        <v>1527696</v>
      </c>
      <c r="G7" s="11">
        <f>F7</f>
        <v>1527696</v>
      </c>
      <c r="H7" s="11">
        <f t="shared" si="1"/>
        <v>1573526.8800000001</v>
      </c>
      <c r="I7" s="11">
        <f>H7</f>
        <v>1573526.8800000001</v>
      </c>
      <c r="J7" s="11">
        <f t="shared" si="1"/>
        <v>1620732.6864000002</v>
      </c>
      <c r="K7" s="11">
        <f>J7</f>
        <v>1620732.6864000002</v>
      </c>
      <c r="L7" s="11">
        <f t="shared" si="1"/>
        <v>1669354.6669920003</v>
      </c>
      <c r="M7" s="11">
        <f>L7</f>
        <v>1669354.6669920003</v>
      </c>
      <c r="N7" s="11">
        <f t="shared" si="1"/>
        <v>1719435.3070017605</v>
      </c>
      <c r="O7" s="11">
        <f>N7</f>
        <v>1719435.3070017605</v>
      </c>
      <c r="P7" s="11">
        <f t="shared" si="1"/>
        <v>1771018.3662118134</v>
      </c>
      <c r="Q7" s="11">
        <f>P7</f>
        <v>1771018.3662118134</v>
      </c>
      <c r="R7" s="11">
        <f t="shared" si="1"/>
        <v>1824148.9171981679</v>
      </c>
    </row>
    <row r="8" spans="2:18" ht="16.5">
      <c r="B8" t="s">
        <v>16</v>
      </c>
      <c r="C8" s="12">
        <v>50000</v>
      </c>
      <c r="D8" s="11">
        <f aca="true" t="shared" si="2" ref="D8:R8">D36</f>
        <v>52500</v>
      </c>
      <c r="E8" s="11">
        <f t="shared" si="2"/>
        <v>55125</v>
      </c>
      <c r="F8" s="11">
        <f t="shared" si="2"/>
        <v>57881.25</v>
      </c>
      <c r="G8" s="11">
        <f t="shared" si="2"/>
        <v>60775.3125</v>
      </c>
      <c r="H8" s="11">
        <f t="shared" si="2"/>
        <v>63814.078125</v>
      </c>
      <c r="I8" s="11">
        <f t="shared" si="2"/>
        <v>67004.78203125</v>
      </c>
      <c r="J8" s="11">
        <f t="shared" si="2"/>
        <v>70355.0211328125</v>
      </c>
      <c r="K8" s="11">
        <f t="shared" si="2"/>
        <v>73872.77218945313</v>
      </c>
      <c r="L8" s="11">
        <f t="shared" si="2"/>
        <v>77566.41079892579</v>
      </c>
      <c r="M8" s="11">
        <f t="shared" si="2"/>
        <v>81444.7313388721</v>
      </c>
      <c r="N8" s="11">
        <f t="shared" si="2"/>
        <v>85516.96790581569</v>
      </c>
      <c r="O8" s="11">
        <f t="shared" si="2"/>
        <v>89792.81630110648</v>
      </c>
      <c r="P8" s="11">
        <f t="shared" si="2"/>
        <v>94282.45711616181</v>
      </c>
      <c r="Q8" s="11">
        <f t="shared" si="2"/>
        <v>98996.57997196988</v>
      </c>
      <c r="R8" s="11">
        <f t="shared" si="2"/>
        <v>103946.40897056839</v>
      </c>
    </row>
    <row r="9" spans="2:18" ht="16.5">
      <c r="B9" s="13" t="s">
        <v>5</v>
      </c>
      <c r="C9" s="14"/>
      <c r="D9" s="15">
        <v>650000</v>
      </c>
      <c r="G9" s="15">
        <f>D15*0.8*1.03^3</f>
        <v>710272.55</v>
      </c>
      <c r="I9" s="14"/>
      <c r="J9" s="15">
        <f>G15*0.8*1.03^3</f>
        <v>776133.9927438501</v>
      </c>
      <c r="L9" s="14"/>
      <c r="M9" s="14"/>
      <c r="N9" s="15">
        <f>J15*0.8*1.03^4</f>
        <v>873545.6465736794</v>
      </c>
      <c r="O9" s="14"/>
      <c r="P9" s="14"/>
      <c r="Q9" s="14"/>
      <c r="R9" s="15">
        <f>N15*0.8*1.03^4</f>
        <v>983183.3211558224</v>
      </c>
    </row>
    <row r="10" spans="2:18" ht="16.5">
      <c r="B10" s="16" t="s">
        <v>6</v>
      </c>
      <c r="C10" s="17"/>
      <c r="D10" s="19">
        <v>260000</v>
      </c>
      <c r="E10" s="19">
        <v>390000</v>
      </c>
      <c r="F10" s="17"/>
      <c r="G10" s="16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2:18" ht="16.5">
      <c r="B11" s="8" t="s">
        <v>2</v>
      </c>
      <c r="C11" s="20">
        <f>SUM(C6:C10)</f>
        <v>3290000</v>
      </c>
      <c r="D11" s="20">
        <f>SUM(D6:D10)</f>
        <v>4299700</v>
      </c>
      <c r="E11" s="20">
        <f>SUM(E6:E10)</f>
        <v>3782325</v>
      </c>
      <c r="F11" s="20">
        <f>SUM(F6:F10)</f>
        <v>3495197.25</v>
      </c>
      <c r="G11" s="20">
        <f>SUM(G6:G10)</f>
        <v>4208363.8625</v>
      </c>
      <c r="H11" s="20">
        <f>SUM(H6:H10)</f>
        <v>3604249.5581250004</v>
      </c>
      <c r="I11" s="20">
        <f>SUM(I6:I10)</f>
        <v>3607440.2620312506</v>
      </c>
      <c r="J11" s="20">
        <f>SUM(J6:J10)</f>
        <v>4493137.558276663</v>
      </c>
      <c r="K11" s="20">
        <f>SUM(K6:K10)</f>
        <v>3720521.3165894537</v>
      </c>
      <c r="L11" s="20">
        <f>SUM(L6:L10)</f>
        <v>3833614.411530927</v>
      </c>
      <c r="M11" s="20">
        <f>SUM(M6:M10)</f>
        <v>3837492.732070873</v>
      </c>
      <c r="N11" s="20">
        <f>SUM(N6:N10)</f>
        <v>4827792.055233456</v>
      </c>
      <c r="O11" s="20">
        <f>SUM(O6:O10)</f>
        <v>3958522.2570550675</v>
      </c>
      <c r="P11" s="20">
        <f>SUM(P6:P10)</f>
        <v>4079073.7810927415</v>
      </c>
      <c r="Q11" s="20">
        <f>SUM(Q6:Q10)</f>
        <v>4083787.9039485496</v>
      </c>
      <c r="R11" s="20">
        <f>SUM(R6:R10)</f>
        <v>5191464.793822268</v>
      </c>
    </row>
    <row r="13" spans="2:18" ht="16.5">
      <c r="B13" s="8" t="s">
        <v>3</v>
      </c>
      <c r="C13" s="9" t="s">
        <v>1</v>
      </c>
      <c r="D13" s="9" t="s">
        <v>1</v>
      </c>
      <c r="E13" s="9" t="s">
        <v>1</v>
      </c>
      <c r="F13" s="9" t="s">
        <v>1</v>
      </c>
      <c r="G13" s="9" t="s">
        <v>1</v>
      </c>
      <c r="H13" s="9" t="s">
        <v>1</v>
      </c>
      <c r="I13" s="9" t="s">
        <v>1</v>
      </c>
      <c r="J13" s="9" t="s">
        <v>1</v>
      </c>
      <c r="K13" s="9" t="s">
        <v>1</v>
      </c>
      <c r="L13" s="9" t="s">
        <v>1</v>
      </c>
      <c r="M13" s="9" t="s">
        <v>1</v>
      </c>
      <c r="N13" s="9" t="s">
        <v>1</v>
      </c>
      <c r="O13" s="9" t="s">
        <v>1</v>
      </c>
      <c r="P13" s="9" t="s">
        <v>1</v>
      </c>
      <c r="Q13" s="9" t="s">
        <v>1</v>
      </c>
      <c r="R13" s="9" t="s">
        <v>1</v>
      </c>
    </row>
    <row r="14" spans="2:18" ht="16.5">
      <c r="B14" t="s">
        <v>4</v>
      </c>
      <c r="C14" s="11">
        <f>SUM(C6:C7)*13%</f>
        <v>421200</v>
      </c>
      <c r="D14" s="11">
        <f aca="true" t="shared" si="3" ref="D14:R14">SUM(D6:D7)*13%</f>
        <v>433836</v>
      </c>
      <c r="E14" s="11">
        <f t="shared" si="3"/>
        <v>433836</v>
      </c>
      <c r="F14" s="11">
        <f>SUM(F6:F7)*13%</f>
        <v>446851.08</v>
      </c>
      <c r="G14" s="11">
        <f t="shared" si="3"/>
        <v>446851.08</v>
      </c>
      <c r="H14" s="11">
        <f t="shared" si="3"/>
        <v>460256.6124000001</v>
      </c>
      <c r="I14" s="11">
        <f t="shared" si="3"/>
        <v>460256.6124000001</v>
      </c>
      <c r="J14" s="11">
        <f t="shared" si="3"/>
        <v>474064.31077200006</v>
      </c>
      <c r="K14" s="11">
        <f t="shared" si="3"/>
        <v>474064.31077200006</v>
      </c>
      <c r="L14" s="11">
        <f t="shared" si="3"/>
        <v>488286.24009516014</v>
      </c>
      <c r="M14" s="11">
        <f t="shared" si="3"/>
        <v>488286.24009516014</v>
      </c>
      <c r="N14" s="11">
        <f t="shared" si="3"/>
        <v>502934.82729801495</v>
      </c>
      <c r="O14" s="11">
        <f t="shared" si="3"/>
        <v>502934.82729801495</v>
      </c>
      <c r="P14" s="11">
        <f t="shared" si="3"/>
        <v>518022.87211695535</v>
      </c>
      <c r="Q14" s="11">
        <f t="shared" si="3"/>
        <v>518022.87211695535</v>
      </c>
      <c r="R14" s="11">
        <f t="shared" si="3"/>
        <v>533563.558280464</v>
      </c>
    </row>
    <row r="15" spans="2:18" ht="16.5">
      <c r="B15" s="10" t="s">
        <v>42</v>
      </c>
      <c r="C15" s="11"/>
      <c r="D15" s="15">
        <f>D9*1.25</f>
        <v>812500</v>
      </c>
      <c r="G15" s="15">
        <f>G9*1.25</f>
        <v>887840.6875</v>
      </c>
      <c r="I15" s="11"/>
      <c r="J15" s="15">
        <f>J9*1.25</f>
        <v>970167.4909298127</v>
      </c>
      <c r="L15" s="11"/>
      <c r="M15" s="11"/>
      <c r="N15" s="15">
        <f>N9*1.25</f>
        <v>1091932.0582170992</v>
      </c>
      <c r="O15" s="11"/>
      <c r="P15" s="11"/>
      <c r="Q15" s="11"/>
      <c r="R15" s="15">
        <f>R9*1.25</f>
        <v>1228979.1514447778</v>
      </c>
    </row>
    <row r="16" spans="2:18" ht="16.5">
      <c r="B16" s="10" t="s">
        <v>46</v>
      </c>
      <c r="C16" s="15">
        <v>3000000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ht="16.5">
      <c r="B17" s="10" t="s">
        <v>11</v>
      </c>
      <c r="C17" s="11">
        <f>100000*12</f>
        <v>1200000</v>
      </c>
      <c r="D17" s="11">
        <f>100000*12</f>
        <v>1200000</v>
      </c>
      <c r="E17" s="11">
        <f>100000*12</f>
        <v>1200000</v>
      </c>
      <c r="F17" s="11">
        <f>100000*12</f>
        <v>1200000</v>
      </c>
      <c r="G17" s="11">
        <f>100000*12</f>
        <v>1200000</v>
      </c>
      <c r="H17" s="11">
        <f>100000*12</f>
        <v>1200000</v>
      </c>
      <c r="I17" s="11">
        <f>100000*12</f>
        <v>1200000</v>
      </c>
      <c r="J17" s="11">
        <f>100000*12</f>
        <v>1200000</v>
      </c>
      <c r="K17" s="11">
        <f>100000*12</f>
        <v>1200000</v>
      </c>
      <c r="L17" s="11">
        <f>100000*12*0.95</f>
        <v>1140000</v>
      </c>
      <c r="M17" s="11">
        <f>100000*12*0.9</f>
        <v>1080000</v>
      </c>
      <c r="N17" s="11">
        <f>100000*12*0.9</f>
        <v>1080000</v>
      </c>
      <c r="O17" s="11">
        <f>100000*12*0.86</f>
        <v>1032000</v>
      </c>
      <c r="P17" s="11">
        <f>100000*12*0.81</f>
        <v>972000.0000000001</v>
      </c>
      <c r="Q17" s="11">
        <f>100000*12*0.76</f>
        <v>912000</v>
      </c>
      <c r="R17" s="11">
        <f>100000*12*0.72</f>
        <v>864000</v>
      </c>
    </row>
    <row r="18" spans="2:18" ht="16.5">
      <c r="B18" s="10" t="s">
        <v>40</v>
      </c>
      <c r="C18" s="11">
        <v>500000</v>
      </c>
      <c r="D18" s="11">
        <f>C18*1.03</f>
        <v>515000</v>
      </c>
      <c r="E18" s="11">
        <f>D18*1.03</f>
        <v>530450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ht="16.5">
      <c r="B19" s="48" t="s">
        <v>41</v>
      </c>
      <c r="C19" s="11"/>
      <c r="D19" s="11"/>
      <c r="E19" s="11"/>
      <c r="F19" s="11"/>
      <c r="G19" s="11"/>
      <c r="H19" s="11"/>
      <c r="I19" s="11"/>
      <c r="J19" s="11"/>
      <c r="K19" s="11"/>
      <c r="L19" s="15">
        <v>600000</v>
      </c>
      <c r="M19" s="15">
        <v>600000</v>
      </c>
      <c r="N19" s="11"/>
      <c r="O19" s="15">
        <v>500000</v>
      </c>
      <c r="P19" s="15">
        <v>600000</v>
      </c>
      <c r="Q19" s="15">
        <v>600000</v>
      </c>
      <c r="R19" s="15">
        <v>400000</v>
      </c>
    </row>
    <row r="20" spans="2:18" ht="16.5">
      <c r="B20" s="10" t="s">
        <v>20</v>
      </c>
      <c r="C20" s="11">
        <v>350000</v>
      </c>
      <c r="D20" s="11">
        <f>C20*1.03</f>
        <v>360500</v>
      </c>
      <c r="E20" s="11">
        <f aca="true" t="shared" si="4" ref="E20:R20">D20*1.03</f>
        <v>371315</v>
      </c>
      <c r="F20" s="11">
        <f t="shared" si="4"/>
        <v>382454.45</v>
      </c>
      <c r="G20" s="11">
        <f t="shared" si="4"/>
        <v>393928.0835</v>
      </c>
      <c r="H20" s="11">
        <f t="shared" si="4"/>
        <v>405745.926005</v>
      </c>
      <c r="I20" s="11">
        <f t="shared" si="4"/>
        <v>417918.30378515006</v>
      </c>
      <c r="J20" s="11">
        <f t="shared" si="4"/>
        <v>430455.8528987046</v>
      </c>
      <c r="K20" s="11">
        <f t="shared" si="4"/>
        <v>443369.52848566574</v>
      </c>
      <c r="L20" s="47">
        <f>K20*0.5*1.03</f>
        <v>228335.30717011786</v>
      </c>
      <c r="M20" s="47">
        <f>K20*0.5*1.03^3</f>
        <v>242240.92737677804</v>
      </c>
      <c r="N20" s="11">
        <f>K20*1.03^2</f>
        <v>470370.7327704428</v>
      </c>
      <c r="O20" s="11">
        <f t="shared" si="4"/>
        <v>484481.8547535561</v>
      </c>
      <c r="P20" s="11">
        <f t="shared" si="4"/>
        <v>499016.3103961628</v>
      </c>
      <c r="Q20" s="11">
        <f t="shared" si="4"/>
        <v>513986.7997080477</v>
      </c>
      <c r="R20" s="11">
        <f t="shared" si="4"/>
        <v>529406.4036992892</v>
      </c>
    </row>
    <row r="21" spans="2:18" ht="16.5">
      <c r="B21" s="3" t="s">
        <v>30</v>
      </c>
      <c r="C21" s="17">
        <f>1000000</f>
        <v>1000000</v>
      </c>
      <c r="D21" s="17">
        <f>C21*1.03</f>
        <v>1030000</v>
      </c>
      <c r="E21" s="17">
        <f aca="true" t="shared" si="5" ref="E21:R21">D21*1.03</f>
        <v>1060900</v>
      </c>
      <c r="F21" s="17">
        <f t="shared" si="5"/>
        <v>1092727</v>
      </c>
      <c r="G21" s="17">
        <f t="shared" si="5"/>
        <v>1125508.81</v>
      </c>
      <c r="H21" s="17">
        <f t="shared" si="5"/>
        <v>1159274.0743</v>
      </c>
      <c r="I21" s="17">
        <f t="shared" si="5"/>
        <v>1194052.296529</v>
      </c>
      <c r="J21" s="17">
        <f t="shared" si="5"/>
        <v>1229873.86542487</v>
      </c>
      <c r="K21" s="17">
        <f t="shared" si="5"/>
        <v>1266770.0813876162</v>
      </c>
      <c r="L21" s="17">
        <f t="shared" si="5"/>
        <v>1304773.1838292447</v>
      </c>
      <c r="M21" s="17">
        <f t="shared" si="5"/>
        <v>1343916.379344122</v>
      </c>
      <c r="N21" s="17">
        <f t="shared" si="5"/>
        <v>1384233.8707244457</v>
      </c>
      <c r="O21" s="17">
        <f t="shared" si="5"/>
        <v>1425760.8868461791</v>
      </c>
      <c r="P21" s="17">
        <f t="shared" si="5"/>
        <v>1468533.7134515645</v>
      </c>
      <c r="Q21" s="17">
        <f t="shared" si="5"/>
        <v>1512589.7248551114</v>
      </c>
      <c r="R21" s="17">
        <f t="shared" si="5"/>
        <v>1557967.4166007647</v>
      </c>
    </row>
    <row r="22" spans="2:18" ht="16.5">
      <c r="B22" s="8" t="s">
        <v>38</v>
      </c>
      <c r="C22" s="20">
        <f>SUM(C14:C21)</f>
        <v>6471200</v>
      </c>
      <c r="D22" s="20">
        <f>SUM(D14:D21)</f>
        <v>4351836</v>
      </c>
      <c r="E22" s="20">
        <f>SUM(E14:E21)</f>
        <v>3596501</v>
      </c>
      <c r="F22" s="20">
        <f>SUM(F14:F21)</f>
        <v>3122032.5300000003</v>
      </c>
      <c r="G22" s="20">
        <f>SUM(G14:G21)</f>
        <v>4054128.6610000003</v>
      </c>
      <c r="H22" s="20">
        <f>SUM(H14:H21)</f>
        <v>3225276.6127049997</v>
      </c>
      <c r="I22" s="20">
        <f>SUM(I14:I21)</f>
        <v>3272227.2127141496</v>
      </c>
      <c r="J22" s="20">
        <f>SUM(J14:J21)</f>
        <v>4304561.520025387</v>
      </c>
      <c r="K22" s="20">
        <f>SUM(K14:K21)</f>
        <v>3384203.920645282</v>
      </c>
      <c r="L22" s="20">
        <f>SUM(L14:L21)</f>
        <v>3761394.7310945224</v>
      </c>
      <c r="M22" s="20">
        <f>SUM(M14:M21)</f>
        <v>3754443.54681606</v>
      </c>
      <c r="N22" s="20">
        <f>SUM(N14:N21)</f>
        <v>4529471.489010002</v>
      </c>
      <c r="O22" s="20">
        <f>SUM(O14:O21)</f>
        <v>3945177.56889775</v>
      </c>
      <c r="P22" s="20">
        <f>SUM(P14:P21)</f>
        <v>4057572.895964683</v>
      </c>
      <c r="Q22" s="20">
        <f>SUM(Q14:Q21)</f>
        <v>4056599.396680115</v>
      </c>
      <c r="R22" s="20">
        <f>SUM(R14:R21)</f>
        <v>5113916.530025296</v>
      </c>
    </row>
    <row r="23" spans="2:18" ht="16.5">
      <c r="B23" s="8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2:18" ht="18">
      <c r="B24" s="41" t="s">
        <v>10</v>
      </c>
      <c r="C24" s="26">
        <f>C11-C22</f>
        <v>-3181200</v>
      </c>
      <c r="D24" s="46">
        <f aca="true" t="shared" si="6" ref="D24:R24">D11-D22</f>
        <v>-52136</v>
      </c>
      <c r="E24" s="26">
        <f t="shared" si="6"/>
        <v>185824</v>
      </c>
      <c r="F24" s="26">
        <f t="shared" si="6"/>
        <v>373164.71999999974</v>
      </c>
      <c r="G24" s="26">
        <f t="shared" si="6"/>
        <v>154235.2014999995</v>
      </c>
      <c r="H24" s="26">
        <f t="shared" si="6"/>
        <v>378972.9454200007</v>
      </c>
      <c r="I24" s="26">
        <f t="shared" si="6"/>
        <v>335213.049317101</v>
      </c>
      <c r="J24" s="26">
        <f t="shared" si="6"/>
        <v>188576.0382512752</v>
      </c>
      <c r="K24" s="26">
        <f t="shared" si="6"/>
        <v>336317.3959441716</v>
      </c>
      <c r="L24" s="26">
        <f>L11-L22</f>
        <v>72219.68043640442</v>
      </c>
      <c r="M24" s="26">
        <f t="shared" si="6"/>
        <v>83049.18525481317</v>
      </c>
      <c r="N24" s="26">
        <f t="shared" si="6"/>
        <v>298320.56622345373</v>
      </c>
      <c r="O24" s="26">
        <f t="shared" si="6"/>
        <v>13344.688157317229</v>
      </c>
      <c r="P24" s="26">
        <f t="shared" si="6"/>
        <v>21500.885128058493</v>
      </c>
      <c r="Q24" s="26">
        <f t="shared" si="6"/>
        <v>27188.507268434856</v>
      </c>
      <c r="R24" s="26">
        <f t="shared" si="6"/>
        <v>77548.26379697211</v>
      </c>
    </row>
    <row r="26" spans="2:15" ht="16.5">
      <c r="B26" s="21" t="s">
        <v>52</v>
      </c>
      <c r="N26" s="45"/>
      <c r="O26" s="45"/>
    </row>
    <row r="27" spans="2:12" ht="16.5">
      <c r="B27" s="21" t="s">
        <v>12</v>
      </c>
      <c r="C27" s="18"/>
      <c r="D27" s="18"/>
      <c r="E27" s="2"/>
      <c r="F27" s="2"/>
      <c r="L27" s="45"/>
    </row>
    <row r="29" spans="2:3" ht="18">
      <c r="B29" s="42" t="s">
        <v>14</v>
      </c>
      <c r="C29" s="24" t="s">
        <v>1</v>
      </c>
    </row>
    <row r="30" spans="2:3" ht="16.5">
      <c r="B30" s="23" t="s">
        <v>15</v>
      </c>
      <c r="C30" s="11">
        <v>1000000</v>
      </c>
    </row>
    <row r="33" spans="2:18" ht="18">
      <c r="B33" s="6" t="s">
        <v>18</v>
      </c>
      <c r="C33" s="7">
        <v>0</v>
      </c>
      <c r="D33" s="7">
        <f>C33+1</f>
        <v>1</v>
      </c>
      <c r="E33" s="7">
        <f aca="true" t="shared" si="7" ref="E33:R33">D33+1</f>
        <v>2</v>
      </c>
      <c r="F33" s="7">
        <f t="shared" si="7"/>
        <v>3</v>
      </c>
      <c r="G33" s="7">
        <f t="shared" si="7"/>
        <v>4</v>
      </c>
      <c r="H33" s="7">
        <f t="shared" si="7"/>
        <v>5</v>
      </c>
      <c r="I33" s="7">
        <f t="shared" si="7"/>
        <v>6</v>
      </c>
      <c r="J33" s="7">
        <f t="shared" si="7"/>
        <v>7</v>
      </c>
      <c r="K33" s="7">
        <f t="shared" si="7"/>
        <v>8</v>
      </c>
      <c r="L33" s="7">
        <f t="shared" si="7"/>
        <v>9</v>
      </c>
      <c r="M33" s="7">
        <f t="shared" si="7"/>
        <v>10</v>
      </c>
      <c r="N33" s="7">
        <f t="shared" si="7"/>
        <v>11</v>
      </c>
      <c r="O33" s="7">
        <f t="shared" si="7"/>
        <v>12</v>
      </c>
      <c r="P33" s="7">
        <f t="shared" si="7"/>
        <v>13</v>
      </c>
      <c r="Q33" s="7">
        <f t="shared" si="7"/>
        <v>14</v>
      </c>
      <c r="R33" s="7">
        <f t="shared" si="7"/>
        <v>15</v>
      </c>
    </row>
    <row r="34" spans="3:18" ht="16.5">
      <c r="C34" s="9" t="s">
        <v>1</v>
      </c>
      <c r="D34" s="9" t="s">
        <v>1</v>
      </c>
      <c r="E34" s="9" t="s">
        <v>1</v>
      </c>
      <c r="F34" s="9" t="s">
        <v>1</v>
      </c>
      <c r="G34" s="9" t="s">
        <v>1</v>
      </c>
      <c r="H34" s="9" t="s">
        <v>1</v>
      </c>
      <c r="I34" s="9" t="s">
        <v>1</v>
      </c>
      <c r="J34" s="9" t="s">
        <v>1</v>
      </c>
      <c r="K34" s="9" t="s">
        <v>1</v>
      </c>
      <c r="L34" s="9" t="s">
        <v>1</v>
      </c>
      <c r="M34" s="9" t="s">
        <v>1</v>
      </c>
      <c r="N34" s="9" t="s">
        <v>1</v>
      </c>
      <c r="O34" s="9" t="s">
        <v>1</v>
      </c>
      <c r="P34" s="9" t="s">
        <v>1</v>
      </c>
      <c r="Q34" s="9" t="s">
        <v>1</v>
      </c>
      <c r="R34" s="9" t="s">
        <v>1</v>
      </c>
    </row>
    <row r="35" spans="2:18" ht="16.5">
      <c r="B35" t="s">
        <v>19</v>
      </c>
      <c r="C35" s="11">
        <v>1000000</v>
      </c>
      <c r="D35" s="18">
        <f>SUM(C35:C36)</f>
        <v>1050000</v>
      </c>
      <c r="E35" s="18">
        <f>SUM(D35:D36)</f>
        <v>1102500</v>
      </c>
      <c r="F35" s="18">
        <f aca="true" t="shared" si="8" ref="F35:R35">SUM(E35:E36)</f>
        <v>1157625</v>
      </c>
      <c r="G35" s="18">
        <f t="shared" si="8"/>
        <v>1215506.25</v>
      </c>
      <c r="H35" s="18">
        <f t="shared" si="8"/>
        <v>1276281.5625</v>
      </c>
      <c r="I35" s="18">
        <f t="shared" si="8"/>
        <v>1340095.640625</v>
      </c>
      <c r="J35" s="18">
        <f t="shared" si="8"/>
        <v>1407100.42265625</v>
      </c>
      <c r="K35" s="18">
        <f t="shared" si="8"/>
        <v>1477455.4437890626</v>
      </c>
      <c r="L35" s="18">
        <f t="shared" si="8"/>
        <v>1551328.2159785158</v>
      </c>
      <c r="M35" s="18">
        <f t="shared" si="8"/>
        <v>1628894.6267774417</v>
      </c>
      <c r="N35" s="18">
        <f t="shared" si="8"/>
        <v>1710339.3581163138</v>
      </c>
      <c r="O35" s="18">
        <f t="shared" si="8"/>
        <v>1795856.3260221295</v>
      </c>
      <c r="P35" s="18">
        <f t="shared" si="8"/>
        <v>1885649.142323236</v>
      </c>
      <c r="Q35" s="18">
        <f t="shared" si="8"/>
        <v>1979931.5994393977</v>
      </c>
      <c r="R35" s="18">
        <f t="shared" si="8"/>
        <v>2078928.1794113675</v>
      </c>
    </row>
    <row r="36" spans="2:18" ht="16.5">
      <c r="B36" t="s">
        <v>23</v>
      </c>
      <c r="C36" s="11">
        <f>C35*5%</f>
        <v>50000</v>
      </c>
      <c r="D36" s="18">
        <f>D35*5%</f>
        <v>52500</v>
      </c>
      <c r="E36" s="18">
        <f>E35*5%</f>
        <v>55125</v>
      </c>
      <c r="F36" s="18">
        <f>F35*5%</f>
        <v>57881.25</v>
      </c>
      <c r="G36" s="18">
        <f aca="true" t="shared" si="9" ref="G36:R36">G35*5%</f>
        <v>60775.3125</v>
      </c>
      <c r="H36" s="18">
        <f t="shared" si="9"/>
        <v>63814.078125</v>
      </c>
      <c r="I36" s="18">
        <f t="shared" si="9"/>
        <v>67004.78203125</v>
      </c>
      <c r="J36" s="18">
        <f t="shared" si="9"/>
        <v>70355.0211328125</v>
      </c>
      <c r="K36" s="18">
        <f t="shared" si="9"/>
        <v>73872.77218945313</v>
      </c>
      <c r="L36" s="18">
        <f t="shared" si="9"/>
        <v>77566.41079892579</v>
      </c>
      <c r="M36" s="18">
        <f t="shared" si="9"/>
        <v>81444.7313388721</v>
      </c>
      <c r="N36" s="18">
        <f t="shared" si="9"/>
        <v>85516.96790581569</v>
      </c>
      <c r="O36" s="18">
        <f t="shared" si="9"/>
        <v>89792.81630110648</v>
      </c>
      <c r="P36" s="18">
        <f t="shared" si="9"/>
        <v>94282.45711616181</v>
      </c>
      <c r="Q36" s="18">
        <f t="shared" si="9"/>
        <v>98996.57997196988</v>
      </c>
      <c r="R36" s="18">
        <f t="shared" si="9"/>
        <v>103946.40897056839</v>
      </c>
    </row>
    <row r="37" spans="3:18" ht="16.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ht="16.5">
      <c r="B38" s="21" t="s">
        <v>24</v>
      </c>
    </row>
    <row r="40" spans="2:3" ht="18.75">
      <c r="B40" s="42" t="s">
        <v>13</v>
      </c>
      <c r="C40" s="24" t="s">
        <v>1</v>
      </c>
    </row>
    <row r="41" spans="2:3" ht="16.5">
      <c r="B41" s="28" t="s">
        <v>32</v>
      </c>
      <c r="C41" s="29">
        <v>5000000</v>
      </c>
    </row>
    <row r="42" spans="2:3" ht="16.5">
      <c r="B42" s="4" t="s">
        <v>31</v>
      </c>
      <c r="C42" s="40">
        <v>-1000000</v>
      </c>
    </row>
    <row r="43" spans="2:3" ht="16.5">
      <c r="B43" s="5" t="s">
        <v>39</v>
      </c>
      <c r="C43" s="30">
        <f>SUM(C24)</f>
        <v>-3181200</v>
      </c>
    </row>
    <row r="44" spans="2:3" ht="20.25">
      <c r="B44" s="38" t="s">
        <v>21</v>
      </c>
      <c r="C44" s="39">
        <f>SUM(C41:C43)</f>
        <v>818800</v>
      </c>
    </row>
    <row r="45" spans="2:3" ht="16.5">
      <c r="B45" s="27"/>
      <c r="C45" s="18"/>
    </row>
    <row r="46" spans="2:7" ht="18.75">
      <c r="B46" s="8" t="s">
        <v>39</v>
      </c>
      <c r="C46" s="31">
        <f>D24</f>
        <v>-52136</v>
      </c>
      <c r="G46" s="33"/>
    </row>
    <row r="47" ht="16.5">
      <c r="C47" s="18"/>
    </row>
    <row r="48" spans="2:6" ht="18">
      <c r="B48" s="43" t="s">
        <v>28</v>
      </c>
      <c r="C48" s="34" t="s">
        <v>27</v>
      </c>
      <c r="F48" s="1"/>
    </row>
    <row r="49" spans="2:6" ht="16.5">
      <c r="B49" s="8" t="s">
        <v>45</v>
      </c>
      <c r="C49" s="32">
        <f>-(C46)/C44</f>
        <v>0.06367366878358574</v>
      </c>
      <c r="F49" s="1"/>
    </row>
    <row r="50" spans="2:3" ht="16.5">
      <c r="B50" s="10" t="s">
        <v>22</v>
      </c>
      <c r="C50" s="32">
        <v>0.03</v>
      </c>
    </row>
    <row r="51" spans="2:3" ht="16.5">
      <c r="B51" s="10" t="s">
        <v>25</v>
      </c>
      <c r="C51" s="32">
        <v>0.13</v>
      </c>
    </row>
    <row r="52" spans="2:3" ht="18.75">
      <c r="B52" s="36" t="s">
        <v>26</v>
      </c>
      <c r="C52" s="37">
        <f>(C49+C50)/(1-13%)</f>
        <v>0.10767088365929395</v>
      </c>
    </row>
    <row r="53" ht="16.5">
      <c r="B53" s="8"/>
    </row>
    <row r="54" spans="2:3" ht="16.5">
      <c r="B54" s="8"/>
      <c r="C54" s="35"/>
    </row>
    <row r="55" ht="16.5">
      <c r="C55" s="3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showGridLines="0" zoomScalePageLayoutView="0" workbookViewId="0" topLeftCell="A7">
      <selection activeCell="H23" sqref="H23"/>
    </sheetView>
  </sheetViews>
  <sheetFormatPr defaultColWidth="9.140625" defaultRowHeight="16.5"/>
  <cols>
    <col min="1" max="1" width="3.8515625" style="0" customWidth="1"/>
    <col min="2" max="2" width="51.8515625" style="0" customWidth="1"/>
    <col min="3" max="3" width="19.140625" style="0" customWidth="1"/>
  </cols>
  <sheetData>
    <row r="1" ht="16.5">
      <c r="B1" s="49" t="s">
        <v>53</v>
      </c>
    </row>
    <row r="3" ht="18">
      <c r="C3" s="7" t="s">
        <v>29</v>
      </c>
    </row>
    <row r="4" spans="2:3" ht="16.5">
      <c r="B4" s="8" t="s">
        <v>0</v>
      </c>
      <c r="C4" s="9" t="s">
        <v>1</v>
      </c>
    </row>
    <row r="5" spans="2:3" ht="16.5">
      <c r="B5" s="13" t="s">
        <v>7</v>
      </c>
      <c r="C5" s="15">
        <f>'Ближайшие 15 лет'!R6</f>
        <v>2280186.146497709</v>
      </c>
    </row>
    <row r="6" spans="2:3" ht="16.5">
      <c r="B6" s="16" t="s">
        <v>8</v>
      </c>
      <c r="C6" s="19">
        <f>'Ближайшие 15 лет'!R7</f>
        <v>1824148.9171981679</v>
      </c>
    </row>
    <row r="7" spans="2:3" ht="16.5">
      <c r="B7" s="8" t="s">
        <v>2</v>
      </c>
      <c r="C7" s="20">
        <f>SUM(C5:C6)</f>
        <v>4104335.063695877</v>
      </c>
    </row>
    <row r="9" spans="2:3" ht="16.5">
      <c r="B9" s="8" t="s">
        <v>3</v>
      </c>
      <c r="C9" s="9" t="s">
        <v>1</v>
      </c>
    </row>
    <row r="10" spans="2:3" ht="16.5">
      <c r="B10" t="s">
        <v>4</v>
      </c>
      <c r="C10" s="11">
        <f>SUM(C5:C6)*13%</f>
        <v>533563.558280464</v>
      </c>
    </row>
    <row r="11" spans="2:3" ht="16.5">
      <c r="B11" s="10" t="s">
        <v>47</v>
      </c>
      <c r="C11" s="11">
        <f>100000*12*0.6</f>
        <v>720000</v>
      </c>
    </row>
    <row r="12" spans="2:3" ht="16.5">
      <c r="B12" s="10" t="s">
        <v>41</v>
      </c>
      <c r="C12" s="11">
        <f>12000000*0.12</f>
        <v>1440000</v>
      </c>
    </row>
    <row r="13" spans="2:3" ht="16.5">
      <c r="B13" s="3" t="s">
        <v>30</v>
      </c>
      <c r="C13" s="17">
        <f>'Ближайшие 15 лет'!R21</f>
        <v>1557967.4166007647</v>
      </c>
    </row>
    <row r="14" spans="2:3" ht="16.5">
      <c r="B14" s="8" t="s">
        <v>2</v>
      </c>
      <c r="C14" s="20">
        <f>SUM(C10:C13)</f>
        <v>4251530.974881229</v>
      </c>
    </row>
    <row r="15" ht="16.5">
      <c r="B15" s="21" t="s">
        <v>9</v>
      </c>
    </row>
    <row r="17" spans="2:3" ht="18.75">
      <c r="B17" s="41" t="s">
        <v>10</v>
      </c>
      <c r="C17" s="26">
        <f>C7-C14</f>
        <v>-147195.91118535213</v>
      </c>
    </row>
    <row r="19" spans="2:3" ht="16.5">
      <c r="B19" s="22" t="s">
        <v>13</v>
      </c>
      <c r="C19" s="24" t="s">
        <v>1</v>
      </c>
    </row>
    <row r="20" spans="2:3" ht="16.5">
      <c r="B20" s="28" t="s">
        <v>50</v>
      </c>
      <c r="C20" s="29">
        <f>'Ближайшие 15 лет'!C44</f>
        <v>818800</v>
      </c>
    </row>
    <row r="21" spans="2:3" ht="16.5">
      <c r="B21" s="4" t="s">
        <v>48</v>
      </c>
      <c r="C21" s="40">
        <f>SUM('Ближайшие 15 лет'!E24:R24)</f>
        <v>2545475.1266980018</v>
      </c>
    </row>
    <row r="22" spans="2:3" ht="16.5">
      <c r="B22" s="5" t="s">
        <v>31</v>
      </c>
      <c r="C22" s="51">
        <v>-1000000</v>
      </c>
    </row>
    <row r="23" spans="2:3" ht="20.25">
      <c r="B23" s="38" t="s">
        <v>21</v>
      </c>
      <c r="C23" s="39">
        <f>SUM(C20:C22)</f>
        <v>2364275.1266980018</v>
      </c>
    </row>
    <row r="24" spans="2:3" ht="17.25" customHeight="1">
      <c r="B24" s="27"/>
      <c r="C24" s="18"/>
    </row>
    <row r="25" spans="2:3" ht="18">
      <c r="B25" s="43" t="s">
        <v>28</v>
      </c>
      <c r="C25" s="34" t="s">
        <v>27</v>
      </c>
    </row>
    <row r="26" spans="2:3" ht="16.5">
      <c r="B26" s="8" t="s">
        <v>33</v>
      </c>
      <c r="C26" s="32">
        <f>-C17/C23</f>
        <v>0.06225836812441078</v>
      </c>
    </row>
    <row r="27" spans="2:3" ht="16.5">
      <c r="B27" s="10" t="s">
        <v>22</v>
      </c>
      <c r="C27" s="32">
        <v>0.03</v>
      </c>
    </row>
    <row r="28" spans="2:3" ht="16.5">
      <c r="B28" s="10" t="s">
        <v>25</v>
      </c>
      <c r="C28" s="32">
        <v>0.13</v>
      </c>
    </row>
    <row r="29" spans="2:3" ht="18.75">
      <c r="B29" s="36" t="s">
        <v>26</v>
      </c>
      <c r="C29" s="37">
        <f>(C26+C27)/(1-13%)</f>
        <v>0.10604410129242618</v>
      </c>
    </row>
    <row r="30" spans="2:3" ht="16.5">
      <c r="B30" s="8"/>
      <c r="C30" s="35"/>
    </row>
    <row r="31" spans="2:3" ht="16.5">
      <c r="B31" s="8"/>
      <c r="C31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30"/>
  <sheetViews>
    <sheetView showGridLines="0" zoomScalePageLayoutView="0" workbookViewId="0" topLeftCell="A1">
      <selection activeCell="I5" sqref="I5"/>
    </sheetView>
  </sheetViews>
  <sheetFormatPr defaultColWidth="9.140625" defaultRowHeight="16.5"/>
  <cols>
    <col min="1" max="1" width="3.8515625" style="0" customWidth="1"/>
    <col min="2" max="2" width="51.8515625" style="0" customWidth="1"/>
    <col min="3" max="3" width="14.8515625" style="0" customWidth="1"/>
  </cols>
  <sheetData>
    <row r="3" ht="18">
      <c r="C3" s="7" t="s">
        <v>34</v>
      </c>
    </row>
    <row r="4" spans="2:3" ht="16.5">
      <c r="B4" s="8" t="s">
        <v>0</v>
      </c>
      <c r="C4" s="9" t="s">
        <v>1</v>
      </c>
    </row>
    <row r="5" spans="2:3" ht="16.5">
      <c r="B5" s="13" t="s">
        <v>35</v>
      </c>
      <c r="C5" s="15">
        <f>30000*12</f>
        <v>360000</v>
      </c>
    </row>
    <row r="6" spans="2:3" ht="16.5">
      <c r="B6" s="16" t="s">
        <v>36</v>
      </c>
      <c r="C6" s="19">
        <f>30000*12</f>
        <v>360000</v>
      </c>
    </row>
    <row r="7" spans="2:3" ht="16.5">
      <c r="B7" s="8" t="s">
        <v>2</v>
      </c>
      <c r="C7" s="20">
        <f>SUM(C5:C6)</f>
        <v>720000</v>
      </c>
    </row>
    <row r="9" spans="2:3" ht="16.5">
      <c r="B9" s="8" t="s">
        <v>3</v>
      </c>
      <c r="C9" s="9" t="s">
        <v>1</v>
      </c>
    </row>
    <row r="10" spans="2:3" ht="16.5">
      <c r="B10" s="3" t="s">
        <v>30</v>
      </c>
      <c r="C10" s="44">
        <f>'Следующие 10 лет'!C13*1.03^10*70%</f>
        <v>1465644.5507579502</v>
      </c>
    </row>
    <row r="11" spans="2:3" ht="16.5">
      <c r="B11" s="8" t="s">
        <v>2</v>
      </c>
      <c r="C11" s="20">
        <f>SUM(C10:C10)</f>
        <v>1465644.5507579502</v>
      </c>
    </row>
    <row r="13" spans="2:3" ht="16.5">
      <c r="B13" s="25" t="s">
        <v>10</v>
      </c>
      <c r="C13" s="26">
        <f>C7-C11</f>
        <v>-745644.5507579502</v>
      </c>
    </row>
    <row r="15" ht="16.5">
      <c r="B15" s="21" t="s">
        <v>51</v>
      </c>
    </row>
    <row r="16" spans="2:3" ht="16.5">
      <c r="B16" s="21" t="s">
        <v>12</v>
      </c>
      <c r="C16" s="18"/>
    </row>
    <row r="19" spans="2:3" ht="16.5">
      <c r="B19" s="50" t="s">
        <v>13</v>
      </c>
      <c r="C19" s="24" t="s">
        <v>1</v>
      </c>
    </row>
    <row r="20" spans="2:3" ht="16.5">
      <c r="B20" s="28" t="s">
        <v>49</v>
      </c>
      <c r="C20" s="29">
        <f>'Следующие 10 лет'!C23*(1+'Следующие 10 лет'!C26+'Следующие 10 лет'!C27)^10</f>
        <v>5714152.40956695</v>
      </c>
    </row>
    <row r="21" spans="2:3" ht="16.5">
      <c r="B21" s="5" t="s">
        <v>31</v>
      </c>
      <c r="C21" s="30">
        <v>-1000000</v>
      </c>
    </row>
    <row r="22" spans="2:3" ht="20.25">
      <c r="B22" s="38" t="s">
        <v>21</v>
      </c>
      <c r="C22" s="39">
        <f>SUM(C20:C21)</f>
        <v>4714152.40956695</v>
      </c>
    </row>
    <row r="23" spans="2:3" ht="17.25" customHeight="1">
      <c r="B23" s="27"/>
      <c r="C23" s="18"/>
    </row>
    <row r="24" spans="2:3" ht="16.5">
      <c r="B24" s="34" t="s">
        <v>28</v>
      </c>
      <c r="C24" s="34" t="s">
        <v>27</v>
      </c>
    </row>
    <row r="25" spans="2:3" ht="16.5">
      <c r="B25" s="8" t="s">
        <v>37</v>
      </c>
      <c r="C25" s="32">
        <f>-C13/C22</f>
        <v>0.15817149849562168</v>
      </c>
    </row>
    <row r="26" spans="2:3" ht="16.5">
      <c r="B26" s="10" t="s">
        <v>22</v>
      </c>
      <c r="C26" s="32">
        <v>0.03</v>
      </c>
    </row>
    <row r="27" spans="2:3" ht="16.5">
      <c r="B27" s="10" t="s">
        <v>25</v>
      </c>
      <c r="C27" s="32">
        <v>0.13</v>
      </c>
    </row>
    <row r="28" spans="2:3" ht="18.75">
      <c r="B28" s="36" t="s">
        <v>26</v>
      </c>
      <c r="C28" s="37">
        <f>(C25+C26)/(1-13%)</f>
        <v>0.21628907873059963</v>
      </c>
    </row>
    <row r="29" spans="2:3" ht="16.5">
      <c r="B29" s="8"/>
      <c r="C29" s="35"/>
    </row>
    <row r="30" spans="2:3" ht="16.5">
      <c r="B30" s="8"/>
      <c r="C3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Ваш Казначей</dc:creator>
  <cp:keywords/>
  <dc:description/>
  <cp:lastModifiedBy>Ваш Казначей</cp:lastModifiedBy>
  <dcterms:created xsi:type="dcterms:W3CDTF">2017-10-04T17:03:03Z</dcterms:created>
  <dcterms:modified xsi:type="dcterms:W3CDTF">2017-10-09T23:46:38Z</dcterms:modified>
  <cp:category/>
  <cp:version/>
  <cp:contentType/>
  <cp:contentStatus/>
</cp:coreProperties>
</file>